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BILLS\2024\24-1335 BUDGET - (GVI OPERATION BUDGET BILL FY 2025)\RULES\"/>
    </mc:Choice>
  </mc:AlternateContent>
  <xr:revisionPtr revIDLastSave="0" documentId="13_ncr:1_{5E5BC4BD-8E79-4DB1-8BFB-E2F89BD27C83}" xr6:coauthVersionLast="47" xr6:coauthVersionMax="47" xr10:uidLastSave="{00000000-0000-0000-0000-000000000000}"/>
  <bookViews>
    <workbookView xWindow="28680" yWindow="-120" windowWidth="29040" windowHeight="15720" tabRatio="827" xr2:uid="{72A5B4B4-D60B-4EE4-B949-EE89E08D2A7B}"/>
  </bookViews>
  <sheets>
    <sheet name="Budget Bill Line Item (2)" sheetId="45" r:id="rId1"/>
  </sheets>
  <definedNames>
    <definedName name="_xlnm.Print_Area" localSheetId="0">'Budget Bill Line Item (2)'!$A$1:$D$593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 i="45" l="1"/>
  <c r="D480" i="45"/>
  <c r="D516" i="45"/>
  <c r="D457" i="45"/>
  <c r="D456" i="45"/>
  <c r="A565" i="45"/>
  <c r="A566" i="45"/>
  <c r="A567" i="45"/>
  <c r="A568" i="45"/>
  <c r="A569" i="45"/>
  <c r="A570" i="45"/>
  <c r="A571" i="45"/>
  <c r="A572" i="45"/>
  <c r="A573" i="45"/>
  <c r="A574" i="45"/>
  <c r="A575" i="45"/>
  <c r="A576" i="45"/>
  <c r="A577" i="45"/>
  <c r="A578" i="45"/>
  <c r="A579" i="45"/>
  <c r="A580" i="45"/>
  <c r="A581" i="45"/>
  <c r="A582" i="45"/>
  <c r="A583" i="45"/>
  <c r="A584" i="45"/>
  <c r="A585" i="45"/>
  <c r="A586" i="45"/>
  <c r="A587" i="45"/>
  <c r="A588" i="45"/>
  <c r="A589" i="45"/>
  <c r="A590" i="45"/>
  <c r="A591" i="45"/>
  <c r="A592" i="45"/>
  <c r="A593" i="45"/>
  <c r="A564" i="45"/>
  <c r="A518" i="45"/>
  <c r="A519" i="45"/>
  <c r="A520" i="45"/>
  <c r="A521" i="45"/>
  <c r="A522" i="45"/>
  <c r="A523" i="45"/>
  <c r="A524" i="45"/>
  <c r="A525" i="45"/>
  <c r="A526" i="45"/>
  <c r="A527" i="45"/>
  <c r="A528" i="45"/>
  <c r="A529" i="45"/>
  <c r="A530" i="45"/>
  <c r="A531" i="45"/>
  <c r="A532" i="45"/>
  <c r="A533" i="45"/>
  <c r="A534" i="45"/>
  <c r="A535" i="45"/>
  <c r="A536" i="45"/>
  <c r="A537" i="45"/>
  <c r="A538" i="45"/>
  <c r="A539" i="45"/>
  <c r="A540" i="45"/>
  <c r="A541" i="45"/>
  <c r="A542" i="45"/>
  <c r="A543" i="45"/>
  <c r="A544" i="45"/>
  <c r="A545" i="45"/>
  <c r="A546" i="45"/>
  <c r="A547" i="45"/>
  <c r="A548" i="45"/>
  <c r="A549" i="45"/>
  <c r="A550" i="45"/>
  <c r="A551" i="45"/>
  <c r="A552" i="45"/>
  <c r="A553" i="45"/>
  <c r="A554" i="45"/>
  <c r="A555" i="45"/>
  <c r="A556" i="45"/>
  <c r="A557" i="45"/>
  <c r="A558" i="45"/>
  <c r="A559" i="45"/>
  <c r="A560" i="45"/>
  <c r="A561" i="45"/>
  <c r="A562" i="45"/>
  <c r="A563" i="45"/>
  <c r="A517" i="45"/>
  <c r="A471" i="45"/>
  <c r="A472" i="45"/>
  <c r="A473" i="45"/>
  <c r="A474" i="45"/>
  <c r="A475" i="45"/>
  <c r="A476" i="45"/>
  <c r="A477" i="45"/>
  <c r="A478" i="45"/>
  <c r="A479" i="45"/>
  <c r="A480" i="45"/>
  <c r="A481" i="45"/>
  <c r="A482" i="45"/>
  <c r="A483" i="45"/>
  <c r="A484" i="45"/>
  <c r="A485" i="45"/>
  <c r="A486" i="45"/>
  <c r="A487" i="45"/>
  <c r="A488" i="45"/>
  <c r="A489" i="45"/>
  <c r="A490" i="45"/>
  <c r="A491" i="45"/>
  <c r="A492" i="45"/>
  <c r="A493" i="45"/>
  <c r="A494" i="45"/>
  <c r="A495" i="45"/>
  <c r="A496" i="45"/>
  <c r="A497" i="45"/>
  <c r="A498" i="45"/>
  <c r="A499" i="45"/>
  <c r="A500" i="45"/>
  <c r="A501" i="45"/>
  <c r="A502" i="45"/>
  <c r="A503" i="45"/>
  <c r="A504" i="45"/>
  <c r="A505" i="45"/>
  <c r="A506" i="45"/>
  <c r="A507" i="45"/>
  <c r="A508" i="45"/>
  <c r="A509" i="45"/>
  <c r="A510" i="45"/>
  <c r="A511" i="45"/>
  <c r="A512" i="45"/>
  <c r="A513" i="45"/>
  <c r="A514" i="45"/>
  <c r="A515" i="45"/>
  <c r="A516" i="45"/>
  <c r="A470" i="45"/>
  <c r="A424" i="45"/>
  <c r="A425" i="45"/>
  <c r="A426" i="45"/>
  <c r="A427" i="45"/>
  <c r="A428" i="45"/>
  <c r="A429" i="45"/>
  <c r="A430" i="45"/>
  <c r="A431" i="45"/>
  <c r="A432" i="45"/>
  <c r="A433" i="45"/>
  <c r="A434" i="45"/>
  <c r="A435" i="45"/>
  <c r="A436" i="45"/>
  <c r="A437" i="45"/>
  <c r="A438" i="45"/>
  <c r="A439" i="45"/>
  <c r="A440" i="45"/>
  <c r="A441" i="45"/>
  <c r="A442" i="45"/>
  <c r="A443" i="45"/>
  <c r="A444" i="45"/>
  <c r="A445" i="45"/>
  <c r="A446" i="45"/>
  <c r="A447" i="45"/>
  <c r="A448" i="45"/>
  <c r="A449" i="45"/>
  <c r="A450" i="45"/>
  <c r="A451" i="45"/>
  <c r="A452" i="45"/>
  <c r="A453" i="45"/>
  <c r="A454" i="45"/>
  <c r="A455" i="45"/>
  <c r="A456" i="45"/>
  <c r="A457" i="45"/>
  <c r="A458" i="45"/>
  <c r="A459" i="45"/>
  <c r="A460" i="45"/>
  <c r="A461" i="45"/>
  <c r="A462" i="45"/>
  <c r="A463" i="45"/>
  <c r="A464" i="45"/>
  <c r="A465" i="45"/>
  <c r="A466" i="45"/>
  <c r="A467" i="45"/>
  <c r="A468" i="45"/>
  <c r="A469" i="45"/>
  <c r="A423" i="45"/>
  <c r="A377" i="45"/>
  <c r="A378" i="45"/>
  <c r="A379" i="45"/>
  <c r="A380" i="45"/>
  <c r="A381" i="45"/>
  <c r="A382" i="45"/>
  <c r="A383" i="45"/>
  <c r="A384" i="45"/>
  <c r="A385" i="45"/>
  <c r="A386" i="45"/>
  <c r="A387" i="45"/>
  <c r="A388" i="45"/>
  <c r="A389" i="45"/>
  <c r="A390" i="45"/>
  <c r="A391" i="45"/>
  <c r="A392" i="45"/>
  <c r="A393" i="45"/>
  <c r="A394" i="45"/>
  <c r="A395" i="45"/>
  <c r="A396" i="45"/>
  <c r="A397" i="45"/>
  <c r="A398" i="45"/>
  <c r="A399" i="45"/>
  <c r="A400" i="45"/>
  <c r="A401" i="45"/>
  <c r="A402" i="45"/>
  <c r="A403" i="45"/>
  <c r="A404" i="45"/>
  <c r="A405" i="45"/>
  <c r="A406" i="45"/>
  <c r="A407" i="45"/>
  <c r="A408" i="45"/>
  <c r="A409" i="45"/>
  <c r="A410" i="45"/>
  <c r="A411" i="45"/>
  <c r="A412" i="45"/>
  <c r="A413" i="45"/>
  <c r="A414" i="45"/>
  <c r="A415" i="45"/>
  <c r="A416" i="45"/>
  <c r="A417" i="45"/>
  <c r="A418" i="45"/>
  <c r="A419" i="45"/>
  <c r="A420" i="45"/>
  <c r="A421" i="45"/>
  <c r="A422" i="45"/>
  <c r="A376" i="45"/>
  <c r="A330" i="45"/>
  <c r="A331" i="45"/>
  <c r="A332" i="45"/>
  <c r="A333" i="45"/>
  <c r="A334" i="45"/>
  <c r="A335" i="45"/>
  <c r="A336" i="45"/>
  <c r="A337" i="45"/>
  <c r="A338" i="45"/>
  <c r="A339" i="45"/>
  <c r="A340" i="45"/>
  <c r="A341" i="45"/>
  <c r="A342" i="45"/>
  <c r="A343" i="45"/>
  <c r="A344" i="45"/>
  <c r="A345" i="45"/>
  <c r="A346" i="45"/>
  <c r="A347" i="45"/>
  <c r="A348" i="45"/>
  <c r="A349" i="45"/>
  <c r="A350" i="45"/>
  <c r="A351" i="45"/>
  <c r="A352" i="45"/>
  <c r="A353" i="45"/>
  <c r="A354" i="45"/>
  <c r="A355" i="45"/>
  <c r="A356" i="45"/>
  <c r="A357" i="45"/>
  <c r="A358" i="45"/>
  <c r="A359" i="45"/>
  <c r="A360" i="45"/>
  <c r="A361" i="45"/>
  <c r="A362" i="45"/>
  <c r="A363" i="45"/>
  <c r="A364" i="45"/>
  <c r="A365" i="45"/>
  <c r="A366" i="45"/>
  <c r="A367" i="45"/>
  <c r="A368" i="45"/>
  <c r="A369" i="45"/>
  <c r="A370" i="45"/>
  <c r="A371" i="45"/>
  <c r="A372" i="45"/>
  <c r="A373" i="45"/>
  <c r="A374" i="45"/>
  <c r="A375" i="45"/>
  <c r="A329" i="45"/>
  <c r="A283" i="45"/>
  <c r="A284" i="45"/>
  <c r="A285" i="45"/>
  <c r="A286" i="45"/>
  <c r="A287" i="45"/>
  <c r="A288" i="45"/>
  <c r="A289" i="45"/>
  <c r="A290" i="45"/>
  <c r="A291" i="45"/>
  <c r="A292" i="45"/>
  <c r="A293" i="45"/>
  <c r="A294" i="45"/>
  <c r="A295" i="45"/>
  <c r="A296" i="45"/>
  <c r="A297" i="45"/>
  <c r="A298" i="45"/>
  <c r="A299" i="45"/>
  <c r="A300" i="45"/>
  <c r="A301" i="45"/>
  <c r="A302" i="45"/>
  <c r="A303" i="45"/>
  <c r="A304" i="45"/>
  <c r="A305" i="45"/>
  <c r="A306" i="45"/>
  <c r="A307" i="45"/>
  <c r="A308" i="45"/>
  <c r="A309" i="45"/>
  <c r="A310" i="45"/>
  <c r="A311" i="45"/>
  <c r="A312" i="45"/>
  <c r="A313" i="45"/>
  <c r="A314" i="45"/>
  <c r="A315" i="45"/>
  <c r="A316" i="45"/>
  <c r="A317" i="45"/>
  <c r="A318" i="45"/>
  <c r="A319" i="45"/>
  <c r="A320" i="45"/>
  <c r="A321" i="45"/>
  <c r="A322" i="45"/>
  <c r="A323" i="45"/>
  <c r="A324" i="45"/>
  <c r="A325" i="45"/>
  <c r="A326" i="45"/>
  <c r="A327" i="45"/>
  <c r="A328" i="45"/>
  <c r="A282" i="45"/>
  <c r="A236" i="45"/>
  <c r="A237" i="45"/>
  <c r="A238" i="45"/>
  <c r="A239" i="45"/>
  <c r="A240" i="45"/>
  <c r="A241" i="45"/>
  <c r="A242" i="45"/>
  <c r="A243" i="45"/>
  <c r="A244"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35" i="45"/>
  <c r="A233" i="45"/>
  <c r="A234" i="45"/>
  <c r="A189" i="45"/>
  <c r="A190" i="45"/>
  <c r="A191" i="45"/>
  <c r="A192" i="45"/>
  <c r="A193" i="45"/>
  <c r="A194" i="45"/>
  <c r="A195" i="45"/>
  <c r="A196" i="45"/>
  <c r="A197" i="45"/>
  <c r="A198" i="45"/>
  <c r="A199" i="45"/>
  <c r="A200" i="45"/>
  <c r="A201" i="45"/>
  <c r="A202" i="45"/>
  <c r="A203" i="45"/>
  <c r="A204" i="45"/>
  <c r="A205" i="45"/>
  <c r="A206" i="45"/>
  <c r="A207" i="45"/>
  <c r="A208" i="45"/>
  <c r="A209" i="45"/>
  <c r="A210" i="45"/>
  <c r="A211" i="45"/>
  <c r="A212" i="45"/>
  <c r="A213" i="45"/>
  <c r="A214" i="45"/>
  <c r="A215" i="45"/>
  <c r="A216" i="45"/>
  <c r="A217" i="45"/>
  <c r="A218" i="45"/>
  <c r="A219" i="45"/>
  <c r="A220" i="45"/>
  <c r="A221" i="45"/>
  <c r="A222" i="45"/>
  <c r="A223" i="45"/>
  <c r="A224" i="45"/>
  <c r="A225" i="45"/>
  <c r="A226" i="45"/>
  <c r="A227" i="45"/>
  <c r="A228" i="45"/>
  <c r="A229" i="45"/>
  <c r="A230" i="45"/>
  <c r="A231" i="45"/>
  <c r="A232" i="45"/>
  <c r="A188" i="45"/>
  <c r="A175" i="45"/>
  <c r="A176" i="45"/>
  <c r="A177" i="45"/>
  <c r="A178" i="45"/>
  <c r="A179" i="45"/>
  <c r="A180" i="45"/>
  <c r="A181" i="45"/>
  <c r="A182" i="45"/>
  <c r="A183" i="45"/>
  <c r="A184" i="45"/>
  <c r="A185" i="45"/>
  <c r="A186" i="45"/>
  <c r="A187"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41"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94" i="45"/>
  <c r="A88" i="45"/>
  <c r="A89" i="45"/>
  <c r="A90" i="45"/>
  <c r="A91" i="45"/>
  <c r="A92" i="45"/>
  <c r="A93" i="45"/>
  <c r="A48"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47" i="45"/>
  <c r="D552" i="45"/>
  <c r="D548" i="45"/>
  <c r="D542" i="45"/>
  <c r="D540" i="45"/>
  <c r="D531" i="45"/>
  <c r="D519" i="45"/>
  <c r="D493" i="45"/>
  <c r="D478" i="45"/>
  <c r="D467" i="45"/>
  <c r="D437" i="45"/>
  <c r="A46" i="45" l="1"/>
  <c r="D511" i="45" l="1"/>
  <c r="D533" i="45"/>
  <c r="G331" i="45"/>
  <c r="F331" i="45"/>
  <c r="A22" i="45"/>
  <c r="A23" i="45"/>
  <c r="A24" i="45"/>
  <c r="A25" i="45"/>
  <c r="A26" i="45"/>
  <c r="A28" i="45"/>
  <c r="A29" i="45"/>
  <c r="A30" i="45"/>
  <c r="A31" i="45"/>
  <c r="A32" i="45"/>
  <c r="A33" i="45"/>
  <c r="A34" i="45"/>
  <c r="A35" i="45"/>
  <c r="A36" i="45"/>
  <c r="A37" i="45"/>
  <c r="A38" i="45"/>
  <c r="A39" i="45"/>
  <c r="A40" i="45"/>
  <c r="A41" i="45"/>
  <c r="A42" i="45"/>
  <c r="A43" i="45"/>
  <c r="A44" i="45"/>
  <c r="A45" i="45"/>
  <c r="D341" i="45" l="1"/>
  <c r="D320" i="45"/>
  <c r="D396" i="45"/>
  <c r="D513" i="45" l="1"/>
  <c r="D423" i="45" l="1"/>
  <c r="D452" i="45"/>
  <c r="D514" i="45"/>
  <c r="D545" i="45"/>
  <c r="D543" i="45"/>
  <c r="D537" i="45"/>
  <c r="D536" i="45"/>
  <c r="D534" i="45"/>
  <c r="D529" i="45"/>
  <c r="D527" i="45"/>
  <c r="D526" i="45"/>
  <c r="D524" i="45"/>
  <c r="D522" i="45"/>
  <c r="D482" i="45"/>
  <c r="E484" i="45" s="1"/>
  <c r="D515" i="45"/>
  <c r="D507" i="45"/>
  <c r="D504" i="45"/>
  <c r="D503" i="45"/>
  <c r="D501" i="45"/>
  <c r="D502" i="45"/>
  <c r="D499" i="45"/>
  <c r="D498" i="45"/>
  <c r="D497" i="45"/>
  <c r="D495" i="45"/>
  <c r="D494" i="45"/>
  <c r="D492" i="45"/>
  <c r="D490" i="45"/>
  <c r="D489" i="45"/>
  <c r="D488" i="45"/>
  <c r="E479" i="45"/>
  <c r="E474" i="45"/>
  <c r="E549" i="45" l="1"/>
  <c r="D462" i="45"/>
  <c r="D458" i="45"/>
  <c r="D455" i="45"/>
  <c r="D205" i="45"/>
  <c r="D211" i="45"/>
  <c r="F143" i="45" l="1"/>
  <c r="E555" i="45" l="1"/>
  <c r="D263" i="45"/>
  <c r="D261" i="45"/>
  <c r="D260" i="45"/>
  <c r="D258" i="45"/>
  <c r="D257" i="45"/>
  <c r="D426" i="45" l="1"/>
  <c r="D420" i="45" l="1"/>
  <c r="D421" i="45"/>
  <c r="D418" i="45"/>
  <c r="D417" i="45"/>
  <c r="D413" i="45"/>
  <c r="D412" i="45"/>
  <c r="D409" i="45"/>
  <c r="D370" i="45"/>
  <c r="D355" i="45" l="1"/>
  <c r="D352" i="45"/>
  <c r="D351" i="45"/>
  <c r="D339" i="45"/>
  <c r="D338" i="45"/>
  <c r="D337" i="45"/>
  <c r="D336" i="45"/>
  <c r="D318" i="45"/>
  <c r="D342" i="45"/>
  <c r="D307" i="45"/>
  <c r="D306" i="45"/>
  <c r="D295" i="45"/>
  <c r="D294" i="45"/>
  <c r="D276" i="45"/>
  <c r="D275" i="45"/>
  <c r="D277" i="45"/>
  <c r="D284" i="45"/>
  <c r="D283" i="45"/>
  <c r="D282" i="45"/>
  <c r="D281" i="45"/>
  <c r="D237" i="45" l="1"/>
  <c r="D234" i="45"/>
  <c r="D225" i="45"/>
  <c r="D215" i="45"/>
  <c r="D221" i="45"/>
  <c r="D187" i="45"/>
  <c r="D186" i="45"/>
  <c r="D201" i="45" l="1"/>
  <c r="D200" i="45"/>
  <c r="D209" i="45"/>
  <c r="D210" i="45"/>
  <c r="D190" i="45" l="1"/>
  <c r="D180" i="45"/>
  <c r="D179" i="45"/>
  <c r="D160" i="45" l="1"/>
  <c r="D133" i="45"/>
  <c r="D134" i="45"/>
  <c r="D124" i="45"/>
  <c r="D123" i="45"/>
  <c r="D115" i="45"/>
  <c r="D103" i="45"/>
  <c r="D102" i="45"/>
  <c r="D88" i="45" l="1"/>
  <c r="D86" i="45" l="1"/>
  <c r="D85" i="45"/>
  <c r="D111" i="45" l="1"/>
  <c r="D110" i="45"/>
  <c r="D73" i="45" l="1"/>
  <c r="D72" i="45"/>
  <c r="D90" i="45"/>
  <c r="D80" i="45" l="1"/>
  <c r="D272" i="45"/>
  <c r="D271" i="45"/>
  <c r="D231" i="45"/>
  <c r="D230" i="45"/>
  <c r="D216" i="45"/>
  <c r="D223" i="45" s="1"/>
  <c r="D227" i="45" s="1"/>
  <c r="D156" i="45"/>
  <c r="D155" i="45"/>
  <c r="D101" i="45"/>
  <c r="D100" i="45"/>
  <c r="D84" i="45"/>
  <c r="D83" i="45"/>
  <c r="D57" i="45"/>
  <c r="D53" i="45"/>
  <c r="D50" i="45"/>
  <c r="D51" i="45"/>
  <c r="D47" i="45"/>
  <c r="D46" i="45"/>
  <c r="E377" i="45" l="1"/>
  <c r="E379" i="45" s="1"/>
  <c r="E384" i="45" s="1"/>
  <c r="E309" i="45"/>
  <c r="E312" i="45" s="1"/>
  <c r="E314" i="45" s="1"/>
  <c r="F347" i="45"/>
  <c r="E341" i="45" s="1"/>
  <c r="E344" i="45" s="1"/>
  <c r="E348" i="45" s="1"/>
  <c r="E320" i="45"/>
  <c r="E319" i="45"/>
  <c r="E318" i="45"/>
  <c r="E317" i="45"/>
  <c r="F360" i="45"/>
  <c r="E355" i="45"/>
  <c r="E354" i="45"/>
  <c r="E353" i="45"/>
  <c r="E352" i="45"/>
  <c r="E351" i="45"/>
  <c r="E276" i="45"/>
  <c r="F285" i="45"/>
  <c r="E275" i="45"/>
  <c r="D278" i="45"/>
  <c r="E126" i="45"/>
  <c r="E128" i="45" s="1"/>
  <c r="E130" i="45" s="1"/>
  <c r="E365" i="45"/>
  <c r="E364" i="45"/>
  <c r="F302" i="45"/>
  <c r="E297" i="45" s="1"/>
  <c r="E300" i="45" s="1"/>
  <c r="E303" i="45" s="1"/>
  <c r="E235" i="45"/>
  <c r="E234" i="45"/>
  <c r="E231" i="45"/>
  <c r="E230" i="45"/>
  <c r="E216" i="45"/>
  <c r="E215" i="45"/>
  <c r="E205" i="45"/>
  <c r="E204" i="45"/>
  <c r="E201" i="45"/>
  <c r="E200" i="45"/>
  <c r="E172" i="45"/>
  <c r="E174" i="45" s="1"/>
  <c r="E160" i="45"/>
  <c r="E162" i="45"/>
  <c r="F166" i="45"/>
  <c r="E77" i="45"/>
  <c r="E76" i="45"/>
  <c r="E73" i="45"/>
  <c r="E72" i="45"/>
  <c r="F67" i="45"/>
  <c r="E57" i="45" s="1"/>
  <c r="E58" i="45" s="1"/>
  <c r="E69" i="45" s="1"/>
  <c r="F42" i="45"/>
  <c r="E34" i="45" s="1"/>
  <c r="E37" i="45" s="1"/>
  <c r="E43" i="45" s="1"/>
  <c r="E137" i="45"/>
  <c r="E138" i="45"/>
  <c r="F119" i="45"/>
  <c r="E115" i="45" s="1"/>
  <c r="E117" i="45" s="1"/>
  <c r="E120" i="45" s="1"/>
  <c r="F96" i="45"/>
  <c r="E88" i="45" s="1"/>
  <c r="E89" i="45" s="1"/>
  <c r="E97" i="45" s="1"/>
  <c r="D379" i="45"/>
  <c r="E223" i="45" l="1"/>
  <c r="E227" i="45" s="1"/>
  <c r="E322" i="45"/>
  <c r="E333" i="45" s="1"/>
  <c r="E356" i="45"/>
  <c r="E361" i="45" s="1"/>
  <c r="E278" i="45"/>
  <c r="E286" i="45" s="1"/>
  <c r="E369" i="45"/>
  <c r="E371" i="45" s="1"/>
  <c r="E238" i="45"/>
  <c r="E254" i="45" s="1"/>
  <c r="E207" i="45"/>
  <c r="E212" i="45" s="1"/>
  <c r="E163" i="45"/>
  <c r="E166" i="45" s="1"/>
  <c r="E80" i="45"/>
  <c r="E140" i="45"/>
  <c r="E144" i="45" s="1"/>
  <c r="D460" i="45" l="1"/>
  <c r="D454" i="45"/>
  <c r="E454" i="45" s="1"/>
  <c r="D470" i="45"/>
  <c r="E471" i="45" s="1"/>
  <c r="E462" i="45" l="1"/>
  <c r="D556" i="45"/>
  <c r="D424" i="45"/>
  <c r="D163" i="45" l="1"/>
  <c r="D169" i="45"/>
  <c r="D174" i="45" s="1"/>
  <c r="D176" i="45" s="1"/>
  <c r="D298" i="45"/>
  <c r="D300" i="45" s="1"/>
  <c r="D67" i="45"/>
  <c r="D247" i="45"/>
  <c r="D242" i="45"/>
  <c r="D246" i="45"/>
  <c r="D89" i="45" l="1"/>
  <c r="D97" i="45" s="1"/>
  <c r="D384" i="45"/>
  <c r="D303" i="45"/>
  <c r="D183" i="45"/>
  <c r="D238" i="45"/>
  <c r="D254" i="45" l="1"/>
  <c r="D166" i="45"/>
  <c r="D128" i="45"/>
  <c r="D130" i="45" s="1"/>
  <c r="D117" i="45"/>
  <c r="D120" i="45" s="1"/>
  <c r="D58" i="45"/>
  <c r="D69" i="45" s="1"/>
  <c r="D37" i="45"/>
  <c r="D43" i="45" s="1"/>
  <c r="D286" i="45" l="1"/>
  <c r="D356" i="45" l="1"/>
  <c r="D361" i="45" s="1"/>
  <c r="D419" i="45"/>
  <c r="E423" i="45" s="1"/>
  <c r="D427" i="45" l="1"/>
  <c r="D558" i="45" s="1"/>
  <c r="D312" i="45" l="1"/>
  <c r="D314" i="45" s="1"/>
  <c r="D140" i="45"/>
  <c r="D144" i="45" s="1"/>
  <c r="D207" i="45"/>
  <c r="D344" i="45"/>
  <c r="D107" i="45"/>
  <c r="D212" i="45" l="1"/>
  <c r="D348" i="45"/>
  <c r="D322" i="45"/>
  <c r="D333" i="45" s="1"/>
  <c r="D291" i="45" l="1"/>
  <c r="D562" i="45"/>
  <c r="A21" i="45"/>
  <c r="D590" i="45" l="1"/>
  <c r="D402" i="45" s="1"/>
  <c r="D264" i="45" l="1"/>
  <c r="D268" i="45" s="1"/>
  <c r="D369" i="45"/>
  <c r="D371" i="45" s="1"/>
  <c r="D197" i="45" l="1"/>
  <c r="D152" i="45"/>
  <c r="D54" i="45"/>
  <c r="D192" i="45"/>
  <c r="D398" i="45" l="1"/>
  <c r="D400" i="45"/>
  <c r="D591" i="45"/>
  <c r="D404" i="45" l="1"/>
  <c r="E404" i="45" s="1"/>
</calcChain>
</file>

<file path=xl/sharedStrings.xml><?xml version="1.0" encoding="utf-8"?>
<sst xmlns="http://schemas.openxmlformats.org/spreadsheetml/2006/main" count="635" uniqueCount="448">
  <si>
    <t xml:space="preserve"> </t>
  </si>
  <si>
    <t>Thirty-Fifth Legislature of the Virgin Islands</t>
  </si>
  <si>
    <t>Be it enacted by the Legislature of the Virgin Islands:</t>
  </si>
  <si>
    <t xml:space="preserve">   SECTION 1.  The sums listed herein, or so much thereof as shall be sufficient to accomplish the purposes specified, as set forth, are appropriated and authorized to be paid from any funds in the General Fund of the Treasury of the Virgin Islands, which amounts shall be available for the fiscal year October 1, 2024 through September 30, 2025.</t>
  </si>
  <si>
    <t>0100 GENERAL FUND</t>
  </si>
  <si>
    <t>FY 2025</t>
  </si>
  <si>
    <t xml:space="preserve">A. </t>
  </si>
  <si>
    <t>ORG 110 DEPARTMENT OF JUSTICE</t>
  </si>
  <si>
    <t>PERSONNEL SERVICES</t>
  </si>
  <si>
    <t>FRINGE BENEFITS</t>
  </si>
  <si>
    <t>SUPPLIES</t>
  </si>
  <si>
    <t>OTHER SERVICES AND CHARGES</t>
  </si>
  <si>
    <t>UTILITIES</t>
  </si>
  <si>
    <t>CAPITAL OUTLAY</t>
  </si>
  <si>
    <t>SUB-TOTAL DEPARTMENT OF JUSTICE</t>
  </si>
  <si>
    <t>CONTRIBUTION TO LEGAL DEFENSE FUND</t>
  </si>
  <si>
    <t>JUDGEMENTS $6000 AND LESS</t>
  </si>
  <si>
    <t>JUDGEMENTS $6,001 TO $25,000</t>
  </si>
  <si>
    <t>JUDGEMENTS GREATER THAN $25,000</t>
  </si>
  <si>
    <t>WITNESS PROTECTION PROGRAM</t>
  </si>
  <si>
    <t>TOTAL ORG 110 DEPARTMENT OF JUSTICE</t>
  </si>
  <si>
    <t>B.</t>
  </si>
  <si>
    <t>ORG 150 BUREAU OF CORRECTIONS</t>
  </si>
  <si>
    <t>FUNDING FOR EXISTING VACANT POSITIONS - PERSONNEL</t>
  </si>
  <si>
    <t>FUNDING FOR EXISTING VACANT POSITIONS - FRINGE BENEFITS</t>
  </si>
  <si>
    <t>IN AND OUT PATIENT SERVICES (HOSPITALS)</t>
  </si>
  <si>
    <t>TOTAL ORG 150 BUREAU OF CORRECTIONS</t>
  </si>
  <si>
    <t>C.</t>
  </si>
  <si>
    <t>ORG 200 OFFICE OF THE GOVERNOR</t>
  </si>
  <si>
    <t>OPERATING EXPENSES</t>
  </si>
  <si>
    <t>SUB-TOTAL OFFICE OF  THE GOVERNOR</t>
  </si>
  <si>
    <t>HEALTH INFORMATION TECHNOLOGY EXCHANGE</t>
  </si>
  <si>
    <t>EXPENSES FOR ANNUAL ACTIVITIES</t>
  </si>
  <si>
    <t>EMANCIPATION DAY ACTIVITIES</t>
  </si>
  <si>
    <t>VI/PR FRIENDSHIP DAY STX</t>
  </si>
  <si>
    <t>VI/PR FRIENDSHIP DAY STT</t>
  </si>
  <si>
    <t>GOVERNMENT ACCESS CHANNEL</t>
  </si>
  <si>
    <t>BVI/VI FRIENDSHIP DAY</t>
  </si>
  <si>
    <t>OFFICE OF GUN VIOLENCE</t>
  </si>
  <si>
    <t>VIRTUAL INFORMATION SYSTEM</t>
  </si>
  <si>
    <t>FORMER GOVERNORS PORTRAITS</t>
  </si>
  <si>
    <t>TOTAL ORG 200 OFFICE OF THE GOVERNOR</t>
  </si>
  <si>
    <t>D.</t>
  </si>
  <si>
    <t>ORG 210 OFFICE OF MANAGEMENT AND BUDGET</t>
  </si>
  <si>
    <t>CAPITAL OUTLAYS</t>
  </si>
  <si>
    <t>TOTAL ORG 210 OFFICE OF MANAGEMENT AND BUDGET</t>
  </si>
  <si>
    <t>E.</t>
  </si>
  <si>
    <t>ORG 220 DIVISION OF PERSONNEL</t>
  </si>
  <si>
    <t>SUB-TOTAL DIVISION OF PERSONNEL</t>
  </si>
  <si>
    <t>GVI FELLOWS PROGRAM (PERSONNEL SERVICES &amp; FRINGE BENEFITS)</t>
  </si>
  <si>
    <t>HEALTH INSURANCE INCREASE</t>
  </si>
  <si>
    <t>HEALTH INSURANCE RETIREES</t>
  </si>
  <si>
    <t xml:space="preserve">GVI EMPLOYEES RECOGNITION ACTIVITIES </t>
  </si>
  <si>
    <t>CERTIFIED PUBLIC MANAGER PROGRAM</t>
  </si>
  <si>
    <t>HEALTH INSURANCE CONSULTANTS</t>
  </si>
  <si>
    <t>CONTRIBUTION TO HEALTH INS. BOARD</t>
  </si>
  <si>
    <t>TOTAL ORG 220 DIVISION OF PERSONNEL</t>
  </si>
  <si>
    <t>F.</t>
  </si>
  <si>
    <t>ORG 221 OFFICE OF COLLECTIVE BARGAINING</t>
  </si>
  <si>
    <t>TOTAL ORG 221 OFFICE OF COLLECTIVE BARGAINING</t>
  </si>
  <si>
    <t>G.</t>
  </si>
  <si>
    <t>ORG 230 VITEMA</t>
  </si>
  <si>
    <t>SUB-TOTAL VITEMA</t>
  </si>
  <si>
    <t>GENERATOR MAINTENANCE AGREEMENT</t>
  </si>
  <si>
    <t>DISASTER RECOVERY CONTINGENCY</t>
  </si>
  <si>
    <t>TOTAL ORG 230 VITEMA</t>
  </si>
  <si>
    <t>H.</t>
  </si>
  <si>
    <t>ORG 240 VI FIRE EMERGENCY MEDICAL SERVICES</t>
  </si>
  <si>
    <t>PREVENTION UNIT HAZARDOUS PAY</t>
  </si>
  <si>
    <t>SUB-TOTAL VI FIRE EMERGENCY MEDICAL SERVICES</t>
  </si>
  <si>
    <t>JUNIOR FIREFIGHTERS</t>
  </si>
  <si>
    <t>TOTAL ORG 240 VI FIRE EMERGENCY MEDICAL SERVICES</t>
  </si>
  <si>
    <t>I.</t>
  </si>
  <si>
    <t>ORG 260 BUREAU OF INFORMATION TECHNOLOGY</t>
  </si>
  <si>
    <t>SUB-TOTAL BUREAU OF INFORMATION TECHNOLOGY</t>
  </si>
  <si>
    <t>MAINTENANCE OF IT INFRASTRUCTURE</t>
  </si>
  <si>
    <t>MICROSOFT AGREEMENT &amp; SUPPORT</t>
  </si>
  <si>
    <t>LICENSE FEES GOVT WIDE NETWORK</t>
  </si>
  <si>
    <t>TOTAL ORG 260 BUREAU OF INFORMATION TECHNOLOGY</t>
  </si>
  <si>
    <t>J.</t>
  </si>
  <si>
    <t>ORG 270 VIRGIN ISLANDS ENERGY OFFICE</t>
  </si>
  <si>
    <t>TOTAL ORG 270 VIRGIN ISLANDS ENERGY OFFICE</t>
  </si>
  <si>
    <t>K.</t>
  </si>
  <si>
    <t>ORG 280 OFFICE OF THE ADJUTANT GENERAL</t>
  </si>
  <si>
    <t>SUB-TOTAL OFFICE OF THE ADJUTANT GENERAL</t>
  </si>
  <si>
    <t>ABOUT FACE AND FORWARD MARCH PROGRAM (OPERATING EXPENSES)</t>
  </si>
  <si>
    <t>NATIONAL GUARD PENSION FUND</t>
  </si>
  <si>
    <t>TOTAL ORG 280 OFFICE OF THE ADJUTANT GENERAL</t>
  </si>
  <si>
    <t>L.</t>
  </si>
  <si>
    <t>ORG 290 OFFICE OF VETERANS' AFFAIRS</t>
  </si>
  <si>
    <t>one vacant position</t>
  </si>
  <si>
    <t>SUB-TOTAL OFFICE OF VETERANS' AFFAIRS</t>
  </si>
  <si>
    <t>VETERANS' MEDICAL &amp; BURIAL EXPENSES</t>
  </si>
  <si>
    <t>TOTAL ORG 290 OFFICE OF VETERANS' AFFAIRS</t>
  </si>
  <si>
    <t>M.</t>
  </si>
  <si>
    <t>ORG 300 OFFICE OF THE LIEUTENANT GOVERNOR</t>
  </si>
  <si>
    <t>TOTAL ORG 300 OFFICE OF THE LIEUTENANT GOVERNOR</t>
  </si>
  <si>
    <t>N.</t>
  </si>
  <si>
    <t>ORG 340 INTERNAL REVENUE BUREAU</t>
  </si>
  <si>
    <t>TOTAL ORG 340 INTERNAL REVENUE BUREAU</t>
  </si>
  <si>
    <t>O.</t>
  </si>
  <si>
    <t xml:space="preserve">ORG 360 BUREAU OF MOTOR VEHICLES </t>
  </si>
  <si>
    <t>TOTAL ORG 360 BUREAU OF MOTOR VEHICLES</t>
  </si>
  <si>
    <t>P.</t>
  </si>
  <si>
    <t>ORG 370 DEPARTMENT OF LABOR</t>
  </si>
  <si>
    <t>SUB-TOTAL DEPARTMENT OF LABOR</t>
  </si>
  <si>
    <t>GOVERNMENT INSURANCE FUND PERSONNEL SERVICES &amp; FRINGE BENEFITS</t>
  </si>
  <si>
    <t>SUMMER YOUTH EMPLOYMENT PERSONNEL SERVICES &amp; FRINGE BENEFITS</t>
  </si>
  <si>
    <t>UNEMPLOYMENT INSURANCE CONTRIBUTIONS</t>
  </si>
  <si>
    <t xml:space="preserve">INTEREST PAYMENT UNEMPLOYMENT TRUST </t>
  </si>
  <si>
    <t>TOTAL ORG 370 DEPARTMENT OF LABOR</t>
  </si>
  <si>
    <t>Q.</t>
  </si>
  <si>
    <t>ORG 380 DEPARTMENT OF LICENSING &amp; CONSUMER AFFAIRS</t>
  </si>
  <si>
    <t>CAPITAL OUTLAY (2 NEW VEHICLES)</t>
  </si>
  <si>
    <t>SUB-TOTAL DEPARTMENT OF LICENSING &amp; CONSUMER AFFAIRS</t>
  </si>
  <si>
    <t>ALCOHOLIC BEVERAGE CONTROL OFFICE</t>
  </si>
  <si>
    <t>OFFICE OF CANNABIS REGULATION PERSONNEL &amp; FRINGE BENEFITS</t>
  </si>
  <si>
    <t>OFFICE OF CANNABIS REGULATION OPERATING EXPENSES</t>
  </si>
  <si>
    <t>TOTAL ORG 380 DEPARTMENT OF LICENSING &amp; CONSUMER AFFAIRS</t>
  </si>
  <si>
    <t>R.</t>
  </si>
  <si>
    <t>ORG 390 DEPARTMENT OF FINANCE</t>
  </si>
  <si>
    <t>SUB-TOTAL DEPARTMENT OF FINANCE</t>
  </si>
  <si>
    <t>DOF AUDIT ACCOUNTING ASSISTANCE</t>
  </si>
  <si>
    <t>ERP SYSTEM SOFTWARE</t>
  </si>
  <si>
    <t>GASB45</t>
  </si>
  <si>
    <t>ANNUAL MAINTENANCE (IDC)</t>
  </si>
  <si>
    <t>INTEREST AND PENALTIES</t>
  </si>
  <si>
    <t>DATA ARCHIVING, WAREHOUSE AND OTHER SERVICES</t>
  </si>
  <si>
    <t>TIME AND ATTENDANCE SOFTWARE/HARDWARE</t>
  </si>
  <si>
    <t>TELECHECK LOSS PREVENTION FEES</t>
  </si>
  <si>
    <t>UPGRADES, TRAINING &amp; MAINTENANCE</t>
  </si>
  <si>
    <t>OPEB PENSION FUND</t>
  </si>
  <si>
    <t>ELECTED GOV'S RETIREMENT FUND</t>
  </si>
  <si>
    <t>JUDGES PENSION FUND</t>
  </si>
  <si>
    <t>AUDIT SERVICES</t>
  </si>
  <si>
    <t>DOF CLAIM FUNDS</t>
  </si>
  <si>
    <t>BONDING GOV'T EMPLOYEES</t>
  </si>
  <si>
    <t>TOTAL ORG 390 DEPARTMENT OF FINANCE</t>
  </si>
  <si>
    <t>S.</t>
  </si>
  <si>
    <t>ORG 400 DEPARTMENT OF EDUCATION</t>
  </si>
  <si>
    <t>NEW SCHOOL BASED POSITIONS - PERSONNEL &amp; FRINGE BENEFITS</t>
  </si>
  <si>
    <t>SCHOOL BUSING CONTRACT</t>
  </si>
  <si>
    <t>SUB-TOTAL DEPARTMENT OF EDUCATION</t>
  </si>
  <si>
    <t>IAA ATHLETIC PROGRAM</t>
  </si>
  <si>
    <t xml:space="preserve">INTERSCHOLASTIC SPORTS </t>
  </si>
  <si>
    <t>CONTINUING ADULT ED. TUITION SUBSIDY</t>
  </si>
  <si>
    <t>TOTAL ORG 400 DEPARTMENT OF EDUCATION</t>
  </si>
  <si>
    <t>T.</t>
  </si>
  <si>
    <t>ORG 500 VI POLICE DEPARTMENT</t>
  </si>
  <si>
    <t>SUB-TOTAL VI POLICE DEPARTMENT</t>
  </si>
  <si>
    <t>EXCESSIVE FORCE CONSENT DECREE</t>
  </si>
  <si>
    <t>CRIME STOPPERS</t>
  </si>
  <si>
    <t>POLICE ACTIVITIES LEAGUE STX</t>
  </si>
  <si>
    <t>POLICE ACTIVITIES LEAGUE STT/STJ</t>
  </si>
  <si>
    <t>CADET LEADERSHIP &amp; DEVELOPMENT PROGRAM STT/STJ</t>
  </si>
  <si>
    <t>CADET LEADERSHIP &amp; DEVELOPMENT PROGRAM STX (FORMERLY GROVE PLACE WEED &amp; SEED)</t>
  </si>
  <si>
    <t>CONTRIBUTION TO PEACE OFFICER TRAINING FUND</t>
  </si>
  <si>
    <t>TOTAL ORG 500 VI POLICE DEPARTMENT</t>
  </si>
  <si>
    <t>U.</t>
  </si>
  <si>
    <t>ORG 520 LAW ENFORCEMENT PLANNING COMMISSION</t>
  </si>
  <si>
    <t>USE INDIRECT COST FUNDS FOR OPE</t>
  </si>
  <si>
    <t>TOTAL ORG 520 LAW ENFORCEMENT PLANNING COMMISSION</t>
  </si>
  <si>
    <t>V.</t>
  </si>
  <si>
    <t>ORG 600 DEPARTMENT OF PROPERTY AND PROCUREMENT</t>
  </si>
  <si>
    <t>SUB-TOTAL DEPARTMENT OF PROPERTY AND PROCUREMENT</t>
  </si>
  <si>
    <t>RENEWAL INSURANCE PREMIUM</t>
  </si>
  <si>
    <t>P&amp;P APPRAISALS</t>
  </si>
  <si>
    <t>TOTAL ORG 600 DEPARTMENT OF PROPERTY AND PROCUREMENT</t>
  </si>
  <si>
    <t>W.</t>
  </si>
  <si>
    <t>ORG 610 DEPARTMENT OF PUBLIC WORKS</t>
  </si>
  <si>
    <t>SUB-TOTAL DEPARTMENT OF PUBLIC WORKS</t>
  </si>
  <si>
    <t>INTER ISLAND SUBSIDY</t>
  </si>
  <si>
    <t>TOTAL ORG 610 DEPARTMENT OF PUBLIC WORKS</t>
  </si>
  <si>
    <t>X.</t>
  </si>
  <si>
    <t>ORG 700 DEPARTMENT OF HEALTH</t>
  </si>
  <si>
    <t>SUB-TOTAL DEPARTMENT OF HEALTH</t>
  </si>
  <si>
    <t>HIV MEDICATION</t>
  </si>
  <si>
    <t>HIV RYAN WHITE TITLE IV PROGRAM</t>
  </si>
  <si>
    <t>VIRGIN ISLANDS CENTRAL CANCER REGISTRY</t>
  </si>
  <si>
    <t>CHRONIC KIDNEY DISEASE, STROKE, AND DIABETES REGISTRY</t>
  </si>
  <si>
    <t>VITAL RECORDS, INFORMATION MGMT. SYS.</t>
  </si>
  <si>
    <t>SICKLE CELL</t>
  </si>
  <si>
    <t>PERINATAL INC.</t>
  </si>
  <si>
    <t>VI BOARD OF NURSE LICENSURE</t>
  </si>
  <si>
    <t>BEHAVIORAL HEALTH MOBILE SUPPLIES</t>
  </si>
  <si>
    <t>CONTRIBUTION TO RLS FOR UTILIZATION OF SPACE</t>
  </si>
  <si>
    <t>for electrucity</t>
  </si>
  <si>
    <t>TOTAL ORG 700 DEPARTMENT OF HEALTH</t>
  </si>
  <si>
    <t>Y.</t>
  </si>
  <si>
    <t>ORG 720 DEPARTMENT OF HUMAN SERVICES</t>
  </si>
  <si>
    <t>SUB-TOTAL DEPARTMENT OF HUMAN SERVICES</t>
  </si>
  <si>
    <t>2 VEHICLES FOR  MEALS ON WHEELS PROGRAM</t>
  </si>
  <si>
    <t xml:space="preserve">CENTENNIAL  </t>
  </si>
  <si>
    <t>ENERGY CRISIS PROGRAM</t>
  </si>
  <si>
    <t>TOTAL ORG 720 DEPARTMENT OF HUMAN SERVICES</t>
  </si>
  <si>
    <t>Z.</t>
  </si>
  <si>
    <t>ORG 800 DEPARTMENT OF PLANNING &amp; NATURAL RESOURCES</t>
  </si>
  <si>
    <t>SUB-TOTAL DEPARTMENT OF PLANNING &amp; NATURAL RESOURCES</t>
  </si>
  <si>
    <t>HISTORIC PRESERVATION COMMISSION STT</t>
  </si>
  <si>
    <t>HISTORIC PRESERVATION COMMISSION STX</t>
  </si>
  <si>
    <t>VI COUNCIL ON THE ARTS</t>
  </si>
  <si>
    <t>TUTU WELL LITIGATION SITE</t>
  </si>
  <si>
    <t>TOTAL ORG 800 DEPARTMENT OF PLANNING &amp; NATURAL RESOURCES</t>
  </si>
  <si>
    <t>AA.</t>
  </si>
  <si>
    <t>ORG 830 DEPARTMENT OF AGRICULTURE</t>
  </si>
  <si>
    <t>SUB-TOTAL DEPARTMENT OF AGRICULTURE</t>
  </si>
  <si>
    <t>DOA INDUSTRIAL HEMP COMMISSION</t>
  </si>
  <si>
    <t>TOTAL ORG 830 DEPARTMENT OF AGRICULTURE</t>
  </si>
  <si>
    <t>AB.</t>
  </si>
  <si>
    <t>ORG 840 DEPARTMENT OF SPORTS, PARKS &amp; RECREATION</t>
  </si>
  <si>
    <t>SUB-TOTAL DEPARTMENT OF SPORTS, PARKS &amp; RECREATION</t>
  </si>
  <si>
    <t>YOUTH PROGRAMS STT</t>
  </si>
  <si>
    <t>YOUTH PROGRAMS STX</t>
  </si>
  <si>
    <t>AMATEUR BOXING PROGRAM</t>
  </si>
  <si>
    <t>LA LECHE LITTLE LEAGUE</t>
  </si>
  <si>
    <t>TOTAL ORG 840 DEPARTMENT OF SPORTS, PARKS &amp; RECREATION</t>
  </si>
  <si>
    <t>AC.</t>
  </si>
  <si>
    <t>ORG 222 BUREAU OF SCHOOL CONSTRUCTION AND MAINTENANCE</t>
  </si>
  <si>
    <t>FUNDING FOR NEW POSITIONS - PERSONNEL</t>
  </si>
  <si>
    <t>FUNDING FOR NEW POSITIONS - FRINGE BENEFITS</t>
  </si>
  <si>
    <t xml:space="preserve">CAPITAL OUTLAYS </t>
  </si>
  <si>
    <t xml:space="preserve">       PLANT OPERATIONS OFFICE SPACE BUILD OUT - STT/J DISTRICT</t>
  </si>
  <si>
    <t xml:space="preserve">    </t>
  </si>
  <si>
    <t xml:space="preserve">       PLANT OPERATIONS OFFICE SPACE BUILD OUT - STX DISTRICT</t>
  </si>
  <si>
    <t>TOTAL ORG 222 BUREAU OF SCHOOL CONSTRUCTION AND MAINTENANCE</t>
  </si>
  <si>
    <t>SUB-TOTAL GENERAL FUND</t>
  </si>
  <si>
    <t>ORG 990 TOTAL MISCELLANEOUS</t>
  </si>
  <si>
    <t>AD.</t>
  </si>
  <si>
    <t>TOTAL GENERAL FUND NON-LAPSING</t>
  </si>
  <si>
    <t>GRAND TOTAL GENERAL FUND</t>
  </si>
  <si>
    <t>C/CNTR</t>
  </si>
  <si>
    <t>AGENCY/MISC ITEM</t>
  </si>
  <si>
    <t>GVI AUTONOMOUS/SEMI-AUTONOMOUS/DIVISIONS</t>
  </si>
  <si>
    <t>OOG LEGAL SERVICES OF THE VIRGIN ISLANDS</t>
  </si>
  <si>
    <t>OOG LEGAL SERVICES CASA PROGRAM</t>
  </si>
  <si>
    <t>OOG ECONOMIC DEVELOPMENT AUTHORITY</t>
  </si>
  <si>
    <t>DOF CASINO CONTROL COMMISSION</t>
  </si>
  <si>
    <t>PUBLIC FINANCE AUTHORITY</t>
  </si>
  <si>
    <t>LABOR MANAGEMENT COMMITTEE</t>
  </si>
  <si>
    <t>VIRGIN ISLANDS HOUSING FINANCE AUTHORITY</t>
  </si>
  <si>
    <t>WTJX VIRGIN ISLANDS PUBLIC BROADCAST SYSTEM</t>
  </si>
  <si>
    <t>DHS FREDERIKSTED HEALTH CARE INC.</t>
  </si>
  <si>
    <t>DHS ST THOMAS EAST END MEDICAL CENTER</t>
  </si>
  <si>
    <t>PFA OFFICE OF DISASTER RECOVERY</t>
  </si>
  <si>
    <t>DSPR VI OLYMPIC COMMITTEE</t>
  </si>
  <si>
    <t>VI ELECTIONS</t>
  </si>
  <si>
    <t>DOF BUDGET STABILIZATION FUND</t>
  </si>
  <si>
    <t>OMB UNION WAGE ADJUSTMENTS</t>
  </si>
  <si>
    <t>FY 2024 EXPIRES 3/30/25</t>
  </si>
  <si>
    <t>OMB GRANT PROJECT MATCH</t>
  </si>
  <si>
    <t>OMB GRANTS TO TERR. BD. OF VI HOSPITAL HEALTH FAC. CORP.</t>
  </si>
  <si>
    <t>OMB THIRD PARTY FIDUCIARY (DOE)</t>
  </si>
  <si>
    <t>INDIRECT COST BILL LINE ITEM FOR $1m FOR DOE THIRD PARTY</t>
  </si>
  <si>
    <t>SUB-TOTAL GVI AUTONOMOUS/SEMI-AUTONOMOUS/DIVISIONS</t>
  </si>
  <si>
    <t>MISCELLANEOUS ORGANIZATIONS</t>
  </si>
  <si>
    <t>DHS ALIGN COMMUNITY MENTORSHIP PROGRAM</t>
  </si>
  <si>
    <t>DHS AMERICAN CANCER SOCIETY</t>
  </si>
  <si>
    <t>DHS BETHEL METHODIST YOUTH OUTREACH</t>
  </si>
  <si>
    <t>DHS BETHLEHEM HOUSE STT</t>
  </si>
  <si>
    <t>DHS BETHLEHEM HOUSE STX</t>
  </si>
  <si>
    <t>DHS CATHOLIC CHARITIES #6693</t>
  </si>
  <si>
    <t>DHS CENTER FOR INDEPENDENT LIVING</t>
  </si>
  <si>
    <t>DHS CRISIS INTERVENTION FUND</t>
  </si>
  <si>
    <t>DHS EAGLE NEST</t>
  </si>
  <si>
    <t>DHS HEARTS IN SERVICE TRANSITIONAL HOUSING</t>
  </si>
  <si>
    <t>DHS LUTHERAN SOCIAL SERVICES</t>
  </si>
  <si>
    <t xml:space="preserve">DHS MEN'S COALITION COUNSELING </t>
  </si>
  <si>
    <t>DHS MISSION OUTREACH</t>
  </si>
  <si>
    <t xml:space="preserve">DHS MY BROTHERS TABLE </t>
  </si>
  <si>
    <t>DHS MY BROTHERS WORKSHOP STT</t>
  </si>
  <si>
    <t>DHS MY BROTHERS WORKSHOP STX</t>
  </si>
  <si>
    <t>DHS PROJECT PROMISE</t>
  </si>
  <si>
    <t>DHS ST CLAIR INSTITUTE</t>
  </si>
  <si>
    <t>DHS ST. JOHN COMMUNITY FOUNDATION (DIAL-A-RIDE)</t>
  </si>
  <si>
    <t>DHS STX WOMENS COALITION</t>
  </si>
  <si>
    <t xml:space="preserve">DHS THE VILLAGE PARTNERS IN RECOVERY </t>
  </si>
  <si>
    <t>DHS VI RESOURCE CENTER FOR THE DISABLED</t>
  </si>
  <si>
    <t>DHS VICTIMS UNITED</t>
  </si>
  <si>
    <t>DHS WOMENS FAMILY RESOURCE CENTER</t>
  </si>
  <si>
    <t>DHS YOUTH ARISE, INC</t>
  </si>
  <si>
    <t>DOA HUMANE SOCIETY STT</t>
  </si>
  <si>
    <t>DOA R.E.A.L. CATS SPAY/NEUTER PROGRAM</t>
  </si>
  <si>
    <t>DOA RUFF START SPAY/NEUTER PROGRAM</t>
  </si>
  <si>
    <t>DOA ST CROIX ANIMAL WELFARE CENTER SPAY/NEUTER PROGRAM</t>
  </si>
  <si>
    <t>DOA ST JOHN ANIMAL CARE CENTER SPAY/NEUTER PROGRAM</t>
  </si>
  <si>
    <t>DOA ST THOMAS HUMANE SOCIETY SPAY/NEUTER PROGRAM</t>
  </si>
  <si>
    <t>DOA STJ ANIMAL CARE CENTER</t>
  </si>
  <si>
    <t>DOA ST CROIX ANIMAL WELFARE CENTER</t>
  </si>
  <si>
    <t>DOE ELEVATEWI, INC.</t>
  </si>
  <si>
    <t>DOE FARM EDUCATION FOR ALL</t>
  </si>
  <si>
    <t>DOE JUNIOR STATE OF AMERICA FOUNDATION</t>
  </si>
  <si>
    <t>DOE ST PATRICK SCHOOL STEEL ORCHESTRA</t>
  </si>
  <si>
    <t>DOE STAR TIME TECHNOLOGIES</t>
  </si>
  <si>
    <t>DOE STEM SUMMER PROJECT - STX</t>
  </si>
  <si>
    <t>DOE STEM SUMMER PROJECT - STT</t>
  </si>
  <si>
    <t>DOE TSWAME AFTERSCHOOL PROGRAM - CANCRYN</t>
  </si>
  <si>
    <t>DOE USVI CHANGE MAKERS FOUNDATION</t>
  </si>
  <si>
    <t>DOH NATIONAL ALLIANCE AND MENTAL ILLNESS (NAMI)</t>
  </si>
  <si>
    <t>DOH VI DIABETES CENTER FOR EXCELLENCE</t>
  </si>
  <si>
    <t>DOH ST THOMAS STROKE SUPPORT GROUP, INC.</t>
  </si>
  <si>
    <t>DOJ VI JUSTICE INITIATIVE INC</t>
  </si>
  <si>
    <t xml:space="preserve">DOT OUR TOWN FREDERIKSTED </t>
  </si>
  <si>
    <t>DOT TASTE OF ST CROIX</t>
  </si>
  <si>
    <t xml:space="preserve">DOT TSK FOLK LIFE FESTIVAL </t>
  </si>
  <si>
    <t>DOT GENTLEMEN OF JONES</t>
  </si>
  <si>
    <t>DPNR CARIBBEAN MUSEUM CENTER FOR THE ARTS</t>
  </si>
  <si>
    <t>DPNR FRENCHTOWN HERITAGE MUSEUM</t>
  </si>
  <si>
    <t>DPNR STX LANDMARKS ($150,000 FROM FY 24 TO SUNSET FY 25)</t>
  </si>
  <si>
    <t>DPNR THE CHILDRENS MUSEUM OF ST CROIX</t>
  </si>
  <si>
    <t xml:space="preserve">DPNR THE VIRGIN ISLANDS CHILDREN MUSEUM </t>
  </si>
  <si>
    <t>DPNR VI ENVIRONMENTAL ASSOCIATION</t>
  </si>
  <si>
    <t>DSPR ACCESS TO RACIAL &amp; CULTURAL HEALTH INSTITUTE INC.</t>
  </si>
  <si>
    <t>DSPR ALLIANCE YOUTH GROUP, INC.</t>
  </si>
  <si>
    <t>DSPR AMERICAN LEGION POST 102 - ENRIQUE ROMERO NIEVES</t>
  </si>
  <si>
    <t>DSPR AMERICAN LEGION POST 131 - VIGGO E. SEWER</t>
  </si>
  <si>
    <t>DSPR AMERICAN LEGION POST 133 - BROMLEY BERKELEY</t>
  </si>
  <si>
    <t>DSPR AMERICAN LEGION POST 85 - MYRON G. DANIELSON</t>
  </si>
  <si>
    <t>DSPR AMERICAN LEGION POST 90 - PATRICK U. GEORGE</t>
  </si>
  <si>
    <t>DSPR AUDI HENNEMAN LEGACY INTER-NEIGHBORHOOD BASKETBALL LEAGUE</t>
  </si>
  <si>
    <t>DSPR BOYS AND GIRLS CLUB VI STT/J</t>
  </si>
  <si>
    <t>DSPR BOYS SCOUT STX</t>
  </si>
  <si>
    <t>DSPR CALYPSO, INC</t>
  </si>
  <si>
    <t>DSPR CARIBBEAN CENTERS FOR BOYS AND GIRLS OF THE VIRGIN ISLANDS</t>
  </si>
  <si>
    <t>DSPR CHOICES BASKETBALL, INC.</t>
  </si>
  <si>
    <t>DSPR COMMITTEE BETTERMENT CARENAGE</t>
  </si>
  <si>
    <t>DSPR CULTURAL CONQUEST ASSOCIATION INC</t>
  </si>
  <si>
    <t xml:space="preserve">DSPR DORCAS STT </t>
  </si>
  <si>
    <t>DSPR DORCAS STX ($7,500 FROM FY 24 TO SUNSET FY 25)</t>
  </si>
  <si>
    <t>DSPR ELMO PLASKETT LITTLE LEAGUE EAST</t>
  </si>
  <si>
    <t>DSPR ELROD HENDRICKS LITTLE LEAGUE WEST</t>
  </si>
  <si>
    <t>DSPR EMERALD GEMS</t>
  </si>
  <si>
    <t>DSPR ENTRE EL PUEBLO</t>
  </si>
  <si>
    <t>DSPR EDDIE ORTIZ THREE KINGS TRADITION</t>
  </si>
  <si>
    <t>DSPR EXPLORERS BASEBALL, INC.</t>
  </si>
  <si>
    <t>DSPR HELENITES SPORTS CLUB</t>
  </si>
  <si>
    <t>DSPR IMALA ACADEMY SOCCER PROGRAM</t>
  </si>
  <si>
    <t>DSPR JUNIOR DRAGSTERS</t>
  </si>
  <si>
    <t>DSPR MASSEY SOCCER ACADEMY</t>
  </si>
  <si>
    <t>DSPR MARINE VOCATIONAL PROGRAM INC</t>
  </si>
  <si>
    <t>DSPR NEW DAY ST JOHN INC.</t>
  </si>
  <si>
    <t>DSPR PAN DRAGONS</t>
  </si>
  <si>
    <t>DSPR POSITIVE GUIDANCE</t>
  </si>
  <si>
    <t>DSPR RAW BASKETBALL</t>
  </si>
  <si>
    <t>DSPR REVIVING BASEBALL IN INNER CITIES (RBI) PROGRAM</t>
  </si>
  <si>
    <t>DSPR S.P.A.R.K.S.</t>
  </si>
  <si>
    <t>DSPR VI SOFTBALL FEDERATION, INC. (WBSC)</t>
  </si>
  <si>
    <t xml:space="preserve">DSPR VI SOFTBALL FEDERATION, INC.  </t>
  </si>
  <si>
    <t>DSPR STT ZERO TOLERANCE BASKETBALL LEAGUE</t>
  </si>
  <si>
    <t>DSPR STT/STJ SWIMMING ASSOCIATION</t>
  </si>
  <si>
    <t>DSPR STT/STJ YOUTH SCHOLASTIC CHESS CLUB</t>
  </si>
  <si>
    <t xml:space="preserve">DSPR STX JUNIOR BOWLERS </t>
  </si>
  <si>
    <t>DSPR STX SWIMMING ASSOCIATION</t>
  </si>
  <si>
    <t>DSPR TRACK AND FIELD FEDERATION</t>
  </si>
  <si>
    <t>DSPR TRIPLE H RANCH INC</t>
  </si>
  <si>
    <t>DSPR USVI BASKETBALL FEDERATION</t>
  </si>
  <si>
    <t>DSPR USVI BOXING FEDERATION</t>
  </si>
  <si>
    <t>DSPR USVI CHESS ASSOCIATION - ST CROIX ($7,000 FROM FY 24 TO SUNSET FY 25)</t>
  </si>
  <si>
    <t>DSPR VI BASEBALL FEDERATION</t>
  </si>
  <si>
    <t>DSPR VI BOWLING FEDERATION ($15,000 FROM FY 24 TO SUNSET FY 25)</t>
  </si>
  <si>
    <t>DSPR VIRGIN ISLANDS VOLLEYBALL FEDERATION</t>
  </si>
  <si>
    <t>OMB ASCENSION LIVITY, INC.</t>
  </si>
  <si>
    <t>OMB CITY OF REFUGE WORSHIP CENTER VI ($10,000 FROM FY 24 TO SUNSET FY 25)</t>
  </si>
  <si>
    <t>OMB COMMITTEE DOMINICANO  ($7,500 FROM FY 24 TO SUNSET FY 25)</t>
  </si>
  <si>
    <t>OMB COMMUNITY ACTION NOW</t>
  </si>
  <si>
    <t>OMB DOMINICAN ACTION COMMITTEE</t>
  </si>
  <si>
    <t>OMB FATHERS IN THE COMMUNITY LLC ($10,000 FROM FY 24 TO SUNSET FY 25)</t>
  </si>
  <si>
    <t>OMB HELPING CHILDREN WORK</t>
  </si>
  <si>
    <t>OMB ISLAND GREEN LIVING</t>
  </si>
  <si>
    <t>OMB MANGO TREE RIDERS ($5,000 FROM FY 24 TO SUNSET FY 25)</t>
  </si>
  <si>
    <t>OMB SEAT INNOVATION &amp; ENTREPRENEURSHIP CENTER</t>
  </si>
  <si>
    <t>OMB SOCIETY 340</t>
  </si>
  <si>
    <t xml:space="preserve">OMB STT VI MARINE ADVISORY SERVICE YOUTH OCEAN EXPLORERS </t>
  </si>
  <si>
    <t>OMB STX VI MARINE ADVISORY SERVICE YOUTH OCEAN EXPLORERS</t>
  </si>
  <si>
    <t>OMB UNITED JAZZ FOUNDATION</t>
  </si>
  <si>
    <t>OMB VI CRAWL</t>
  </si>
  <si>
    <t>VITEMA EMERGENCY SHELTER</t>
  </si>
  <si>
    <t>VITEMA STJ RESCUE</t>
  </si>
  <si>
    <t>VITEMA STJ RESCUE - QUICK RESPONSE RESCUE VEHICLE &amp; TRAINING</t>
  </si>
  <si>
    <t>VITEMA STT RESCUE</t>
  </si>
  <si>
    <t xml:space="preserve">VITEMA STX RESCUE </t>
  </si>
  <si>
    <t>VITEMA WATER ISLAND RESCUE</t>
  </si>
  <si>
    <t>SUB-TOTAL MISCELLANOUS ORGANIZATIONS</t>
  </si>
  <si>
    <t>TOTAL MISCELLANEOUS SECTION</t>
  </si>
  <si>
    <t>GENERAL FUND - NL</t>
  </si>
  <si>
    <t>M1244</t>
  </si>
  <si>
    <t>TERRITORIAL SCHOLARSHIP</t>
  </si>
  <si>
    <t>M1240</t>
  </si>
  <si>
    <t>MORRIS F. DECASTRO SCHOLARSHIP</t>
  </si>
  <si>
    <t>M1247</t>
  </si>
  <si>
    <t>EARLY ADMISSION SCHOLARSHIP</t>
  </si>
  <si>
    <t>M1243</t>
  </si>
  <si>
    <t>KENNETH HARRIGAN SCHOLARSHIP</t>
  </si>
  <si>
    <t>M1214</t>
  </si>
  <si>
    <t>VALEDICTORIAN SCHOLARSHIP</t>
  </si>
  <si>
    <t>M1215</t>
  </si>
  <si>
    <t>SALUTATORIAN SCHOLARSHIP</t>
  </si>
  <si>
    <t>M1242</t>
  </si>
  <si>
    <t>CAROLINE ADAMS SCHOLARSHIP</t>
  </si>
  <si>
    <t>M1213</t>
  </si>
  <si>
    <t>LEW MUCKLE SCHOLARSHIP</t>
  </si>
  <si>
    <t>M1246</t>
  </si>
  <si>
    <t>TERRENCE TODMAN SCHOLARSHIP</t>
  </si>
  <si>
    <t>M1236</t>
  </si>
  <si>
    <t>HILDA BASTIAN SCHOLARSHIP</t>
  </si>
  <si>
    <t>M1245</t>
  </si>
  <si>
    <t>RUTH E. THOMAS SCHOLARSHIP</t>
  </si>
  <si>
    <t>M1224</t>
  </si>
  <si>
    <t>AMADEO FRANCIS SCHOLARSHIP</t>
  </si>
  <si>
    <t>M2206</t>
  </si>
  <si>
    <t>STENOGRAPHER SCHOLARSHIP</t>
  </si>
  <si>
    <t>M1223</t>
  </si>
  <si>
    <t>EVADNEY PETERSEN SCHOLARSHIP</t>
  </si>
  <si>
    <t>M1212</t>
  </si>
  <si>
    <t>EDWARD W. BLYDEN SCHOLARSHIP</t>
  </si>
  <si>
    <t>M1390</t>
  </si>
  <si>
    <t>TREVOR NICHOLAS "NICK" FRIDAY SCHOLARSHIP</t>
  </si>
  <si>
    <t>M1235</t>
  </si>
  <si>
    <t>WIM HODGE SCHOLARSHIP</t>
  </si>
  <si>
    <t>M1218</t>
  </si>
  <si>
    <t>D. HAMILTON JACKSON SCHOLARSHIP</t>
  </si>
  <si>
    <t>M1248</t>
  </si>
  <si>
    <t>MUSIC SCHOLARSHIP (STT)</t>
  </si>
  <si>
    <t>M1249</t>
  </si>
  <si>
    <t>MUSIC SCHOLARSHIP (STX)</t>
  </si>
  <si>
    <t>M1222</t>
  </si>
  <si>
    <t>CLAUDE O. MARKOE SCHOLARSHIP</t>
  </si>
  <si>
    <t>M1221</t>
  </si>
  <si>
    <t>RICHARD CALLWOOD SCHOLARSHIP</t>
  </si>
  <si>
    <t>M1241</t>
  </si>
  <si>
    <t>WILBURN SMITH SCHOLARSHIP</t>
  </si>
  <si>
    <t>M1216</t>
  </si>
  <si>
    <t>EXCEPTIONAL CHILDREN SCHOLARSHIP</t>
  </si>
  <si>
    <t>M1237</t>
  </si>
  <si>
    <t>MURIEL NEWTON SCHOLARSHIP</t>
  </si>
  <si>
    <t>M1217</t>
  </si>
  <si>
    <t>ANN SCHRADER SCHOLARSHIP</t>
  </si>
  <si>
    <t>M1239</t>
  </si>
  <si>
    <t>VI NATIONAL GUARD SCHOLARSHIP</t>
  </si>
  <si>
    <t>M1238</t>
  </si>
  <si>
    <t>GENE CERGE SCHOLARSHIP</t>
  </si>
  <si>
    <t>TOTAL MISCELLANEOUS SCHOLARSHIPS - NL</t>
  </si>
  <si>
    <t>GRAND TOTAL MISCELLANEOUS SECTION AND MISCELLANEOUS SCHOLARSHIP - NL</t>
  </si>
  <si>
    <r>
      <rPr>
        <b/>
        <sz val="11"/>
        <rFont val="Times New Roman"/>
        <family val="1"/>
      </rPr>
      <t>PROPOSED BY</t>
    </r>
    <r>
      <rPr>
        <sz val="11"/>
        <rFont val="Times New Roman"/>
        <family val="1"/>
      </rPr>
      <t>: Senators Novelle E. Francis, Jr., and Donna A. Frett-Gregory by Request of the Governor</t>
    </r>
  </si>
  <si>
    <t>COMMITTEE ON BUDGET, APPROPRIATIONS AND FINANCE</t>
  </si>
  <si>
    <t>BILL NO. 35-0376</t>
  </si>
  <si>
    <t>An Act providing an appropriation from the General Fund of the Treasury of the Government of the Virgin Islands for the operation of the Government of the Virgin Islands during the fiscal year October 1, 2024 through September 30, 2025</t>
  </si>
  <si>
    <t>BR24-1355/BUDGET/September 26,2024</t>
  </si>
  <si>
    <t>09/25/2024-REPORTED OUT TO THE COMMITTEE ON RULES AND JUDICIARY W/CLOSED RULE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</si>
</sst>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409]mmmm\ d\,\ yyyy;@"/>
    <numFmt numFmtId="165" formatCode="_-&quot;$&quot;* #,##0_-;\-&quot;$&quot;* #,##0_-;_-&quot;$&quot;* &quot;-&quot;??_-;_-@_-"/>
    <numFmt numFmtId="166" formatCode="_(&quot;$&quot;* #,##0_);_(&quot;$&quot;* \(#,##0\);_(&quot;$&quot;* &quot;-&quot;??_);_(@_)"/>
    <numFmt numFmtId="167" formatCode="_([$$-409]* #,##0_);_([$$-409]* \(#,##0\);_([$$-409]* &quot;-&quot;??_);_(@_)"/>
  </numFmts>
  <fonts count="22" x14ac:knownFonts="1">
    <font>
      <sz val="11"/>
      <color theme="1"/>
      <name val="Calibri"/>
      <family val="2"/>
      <scheme val="minor"/>
    </font>
    <font>
      <sz val="11"/>
      <color theme="1"/>
      <name val="Calibri"/>
      <family val="2"/>
      <scheme val="minor"/>
    </font>
    <font>
      <b/>
      <sz val="10"/>
      <color theme="1"/>
      <name val="Times New Roman"/>
      <family val="1"/>
    </font>
    <font>
      <b/>
      <sz val="9"/>
      <color theme="1"/>
      <name val="Times New Roman"/>
      <family val="1"/>
    </font>
    <font>
      <sz val="9"/>
      <name val="Times New Roman"/>
      <family val="1"/>
    </font>
    <font>
      <sz val="11"/>
      <name val="Times New Roman"/>
      <family val="1"/>
    </font>
    <font>
      <sz val="10"/>
      <name val="Times New Roman"/>
      <family val="1"/>
    </font>
    <font>
      <b/>
      <u/>
      <sz val="10"/>
      <name val="Times New Roman"/>
      <family val="1"/>
    </font>
    <font>
      <b/>
      <u/>
      <sz val="14"/>
      <name val="Times New Roman"/>
      <family val="1"/>
    </font>
    <font>
      <sz val="14"/>
      <name val="Times New Roman"/>
      <family val="1"/>
    </font>
    <font>
      <b/>
      <sz val="16"/>
      <name val="Times New Roman"/>
      <family val="1"/>
    </font>
    <font>
      <b/>
      <sz val="20"/>
      <name val="Times New Roman"/>
      <family val="1"/>
    </font>
    <font>
      <b/>
      <sz val="10"/>
      <name val="Times New Roman"/>
      <family val="1"/>
    </font>
    <font>
      <b/>
      <sz val="12"/>
      <name val="Times New Roman"/>
      <family val="1"/>
    </font>
    <font>
      <b/>
      <sz val="11"/>
      <name val="Times New Roman"/>
      <family val="1"/>
    </font>
    <font>
      <b/>
      <i/>
      <sz val="11"/>
      <name val="Times New Roman"/>
      <family val="1"/>
    </font>
    <font>
      <sz val="10"/>
      <color theme="1"/>
      <name val="Calibri"/>
      <family val="2"/>
      <scheme val="minor"/>
    </font>
    <font>
      <b/>
      <sz val="9.6999999999999993"/>
      <name val="Times New Roman"/>
      <family val="1"/>
    </font>
    <font>
      <b/>
      <sz val="9.5"/>
      <color theme="1"/>
      <name val="Times New Roman"/>
      <family val="1"/>
    </font>
    <font>
      <b/>
      <sz val="9"/>
      <name val="Times New Roman"/>
      <family val="1"/>
    </font>
    <font>
      <b/>
      <sz val="8"/>
      <color theme="1"/>
      <name val="Times New Roman"/>
      <family val="1"/>
    </font>
    <font>
      <b/>
      <sz val="10"/>
      <color rgb="FF000000"/>
      <name val="Times New Roman"/>
      <family val="1"/>
    </font>
  </fonts>
  <fills count="4">
    <fill>
      <patternFill patternType="none"/>
    </fill>
    <fill>
      <patternFill patternType="gray125"/>
    </fill>
    <fill>
      <patternFill patternType="solid">
        <fgColor rgb="FFFFFF00"/>
        <bgColor indexed="64"/>
      </patternFill>
    </fill>
    <fill>
      <patternFill patternType="solid">
        <fgColor theme="7" tint="0.39997558519241921"/>
        <bgColor indexed="64"/>
      </patternFill>
    </fill>
  </fills>
  <borders count="2">
    <border>
      <left/>
      <right/>
      <top/>
      <bottom/>
      <diagonal/>
    </border>
    <border>
      <left/>
      <right/>
      <top style="thin">
        <color auto="1"/>
      </top>
      <bottom style="thin">
        <color auto="1"/>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63">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165" fontId="4" fillId="0" borderId="0" xfId="1" applyNumberFormat="1" applyFont="1" applyAlignment="1">
      <alignment vertical="center"/>
    </xf>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9" fillId="0" borderId="0" xfId="0" applyFont="1" applyAlignment="1">
      <alignment vertical="center"/>
    </xf>
    <xf numFmtId="0" fontId="12" fillId="0" borderId="0" xfId="0" applyFont="1" applyAlignment="1">
      <alignment vertical="center"/>
    </xf>
    <xf numFmtId="0" fontId="5" fillId="0" borderId="1" xfId="0" applyFont="1" applyBorder="1" applyAlignment="1">
      <alignment vertical="center"/>
    </xf>
    <xf numFmtId="165" fontId="12" fillId="0" borderId="0" xfId="0" applyNumberFormat="1" applyFont="1" applyAlignment="1">
      <alignment vertical="center"/>
    </xf>
    <xf numFmtId="165" fontId="12" fillId="0" borderId="0" xfId="1" applyNumberFormat="1" applyFont="1" applyFill="1" applyAlignment="1">
      <alignment vertical="center"/>
    </xf>
    <xf numFmtId="166" fontId="12" fillId="0" borderId="0" xfId="2" applyNumberFormat="1" applyFont="1" applyAlignment="1">
      <alignment vertical="center"/>
    </xf>
    <xf numFmtId="0" fontId="16" fillId="0" borderId="0" xfId="0" applyFont="1" applyAlignment="1">
      <alignment vertical="center"/>
    </xf>
    <xf numFmtId="165" fontId="12" fillId="0" borderId="0" xfId="2" applyNumberFormat="1" applyFont="1" applyAlignment="1">
      <alignment horizontal="center" vertical="center"/>
    </xf>
    <xf numFmtId="166" fontId="12" fillId="0" borderId="0" xfId="2" applyNumberFormat="1" applyFont="1" applyFill="1" applyAlignment="1">
      <alignment vertical="center"/>
    </xf>
    <xf numFmtId="166" fontId="12" fillId="0" borderId="0" xfId="0" applyNumberFormat="1" applyFont="1" applyAlignment="1">
      <alignment vertical="center"/>
    </xf>
    <xf numFmtId="0" fontId="2" fillId="0" borderId="0" xfId="0" applyFont="1" applyAlignment="1">
      <alignment horizontal="left" vertical="center"/>
    </xf>
    <xf numFmtId="165" fontId="17" fillId="0" borderId="0" xfId="0" applyNumberFormat="1" applyFont="1" applyAlignment="1">
      <alignment vertical="center"/>
    </xf>
    <xf numFmtId="165" fontId="12" fillId="0" borderId="0" xfId="1" applyNumberFormat="1" applyFont="1" applyAlignment="1">
      <alignment vertical="center"/>
    </xf>
    <xf numFmtId="165" fontId="4" fillId="0" borderId="0" xfId="1" applyNumberFormat="1" applyFont="1" applyFill="1" applyAlignment="1">
      <alignment vertical="center"/>
    </xf>
    <xf numFmtId="0" fontId="19" fillId="0" borderId="0" xfId="0" applyFont="1" applyAlignment="1">
      <alignment vertical="center"/>
    </xf>
    <xf numFmtId="0" fontId="6" fillId="0" borderId="0" xfId="0" applyFont="1" applyAlignment="1">
      <alignment horizontal="center" vertical="center"/>
    </xf>
    <xf numFmtId="0" fontId="12" fillId="0" borderId="0" xfId="0" applyFont="1" applyAlignment="1">
      <alignment horizontal="left" vertical="center"/>
    </xf>
    <xf numFmtId="164" fontId="7" fillId="0" borderId="0" xfId="0" applyNumberFormat="1" applyFont="1" applyAlignment="1">
      <alignment horizontal="center" vertical="center"/>
    </xf>
    <xf numFmtId="0" fontId="4" fillId="0" borderId="0" xfId="0" applyFont="1" applyAlignment="1">
      <alignment horizontal="left" vertical="center" wrapText="1"/>
    </xf>
    <xf numFmtId="0" fontId="15" fillId="0" borderId="0" xfId="0" applyFont="1" applyAlignment="1">
      <alignment vertical="center"/>
    </xf>
    <xf numFmtId="165" fontId="4" fillId="0" borderId="0" xfId="0" applyNumberFormat="1" applyFont="1" applyAlignment="1">
      <alignment vertical="center"/>
    </xf>
    <xf numFmtId="165" fontId="12" fillId="0" borderId="0" xfId="1" applyNumberFormat="1" applyFont="1" applyFill="1" applyAlignment="1">
      <alignment horizontal="center" vertical="center"/>
    </xf>
    <xf numFmtId="9" fontId="4" fillId="0" borderId="0" xfId="0" applyNumberFormat="1" applyFont="1" applyAlignment="1">
      <alignment vertical="center"/>
    </xf>
    <xf numFmtId="0" fontId="4" fillId="2" borderId="0" xfId="0" applyFont="1" applyFill="1" applyAlignment="1">
      <alignment vertical="center"/>
    </xf>
    <xf numFmtId="0" fontId="5" fillId="2" borderId="0" xfId="0" applyFont="1" applyFill="1" applyAlignment="1">
      <alignment vertical="center"/>
    </xf>
    <xf numFmtId="165" fontId="12" fillId="3" borderId="0" xfId="0" applyNumberFormat="1" applyFont="1" applyFill="1" applyAlignment="1">
      <alignment vertical="center"/>
    </xf>
    <xf numFmtId="0" fontId="2" fillId="3" borderId="0" xfId="0" applyFont="1" applyFill="1" applyAlignment="1">
      <alignment vertical="center"/>
    </xf>
    <xf numFmtId="0" fontId="12" fillId="3" borderId="0" xfId="0" applyFont="1" applyFill="1" applyAlignment="1">
      <alignment vertical="center"/>
    </xf>
    <xf numFmtId="165" fontId="12" fillId="3" borderId="0" xfId="1" applyNumberFormat="1" applyFont="1" applyFill="1" applyAlignment="1">
      <alignment vertical="center"/>
    </xf>
    <xf numFmtId="165" fontId="12" fillId="3" borderId="0" xfId="1" applyNumberFormat="1" applyFont="1" applyFill="1" applyAlignment="1">
      <alignment horizontal="center" vertical="center"/>
    </xf>
    <xf numFmtId="166" fontId="4" fillId="0" borderId="0" xfId="0" applyNumberFormat="1" applyFont="1" applyAlignment="1">
      <alignment vertical="center"/>
    </xf>
    <xf numFmtId="0" fontId="18" fillId="0" borderId="0" xfId="0" applyFont="1" applyAlignment="1">
      <alignment vertical="center"/>
    </xf>
    <xf numFmtId="165" fontId="12" fillId="0" borderId="0" xfId="0" applyNumberFormat="1" applyFont="1" applyAlignment="1">
      <alignment horizontal="center" vertical="center"/>
    </xf>
    <xf numFmtId="0" fontId="12" fillId="0" borderId="0" xfId="0" applyFont="1" applyAlignment="1">
      <alignment horizontal="center" vertical="center"/>
    </xf>
    <xf numFmtId="0" fontId="6" fillId="0" borderId="0" xfId="0" applyFont="1" applyAlignment="1">
      <alignment vertical="center" wrapText="1"/>
    </xf>
    <xf numFmtId="0" fontId="16" fillId="0" borderId="0" xfId="0" applyFont="1" applyAlignment="1">
      <alignment vertical="center" wrapText="1"/>
    </xf>
    <xf numFmtId="0" fontId="12" fillId="0" borderId="0" xfId="0" applyFont="1" applyAlignment="1">
      <alignment horizontal="justify" vertical="center" wrapText="1"/>
    </xf>
    <xf numFmtId="0" fontId="12" fillId="3" borderId="0" xfId="0" applyFont="1" applyFill="1" applyAlignment="1">
      <alignment horizontal="justify" vertical="center" wrapText="1"/>
    </xf>
    <xf numFmtId="44" fontId="4" fillId="0" borderId="0" xfId="1" applyFont="1" applyAlignment="1">
      <alignment vertical="center"/>
    </xf>
    <xf numFmtId="44" fontId="4" fillId="0" borderId="0" xfId="0" applyNumberFormat="1" applyFont="1" applyAlignment="1">
      <alignment vertical="center"/>
    </xf>
    <xf numFmtId="44" fontId="4" fillId="0" borderId="0" xfId="1" applyFont="1" applyFill="1" applyAlignment="1">
      <alignment vertical="center"/>
    </xf>
    <xf numFmtId="165" fontId="4" fillId="2" borderId="0" xfId="1" applyNumberFormat="1" applyFont="1" applyFill="1" applyAlignment="1">
      <alignment vertical="center"/>
    </xf>
    <xf numFmtId="0" fontId="20" fillId="0" borderId="0" xfId="0" applyFont="1" applyAlignment="1">
      <alignment vertical="center"/>
    </xf>
    <xf numFmtId="0" fontId="12" fillId="0" borderId="0" xfId="0" applyFont="1" applyAlignment="1">
      <alignment vertical="center" wrapText="1"/>
    </xf>
    <xf numFmtId="165" fontId="5" fillId="0" borderId="0" xfId="0" applyNumberFormat="1" applyFont="1" applyAlignment="1">
      <alignment vertical="center"/>
    </xf>
    <xf numFmtId="0" fontId="21" fillId="0" borderId="0" xfId="0" applyFont="1"/>
    <xf numFmtId="167" fontId="12" fillId="0" borderId="0" xfId="0" applyNumberFormat="1" applyFont="1"/>
    <xf numFmtId="0" fontId="5" fillId="0" borderId="0" xfId="0" applyFont="1" applyBorder="1" applyAlignment="1">
      <alignment vertical="center"/>
    </xf>
    <xf numFmtId="0" fontId="12" fillId="0" borderId="0" xfId="0" applyFont="1" applyAlignment="1">
      <alignment horizontal="center" vertical="center"/>
    </xf>
    <xf numFmtId="0" fontId="13" fillId="0" borderId="0" xfId="0" applyFont="1" applyAlignment="1">
      <alignment horizontal="right" vertical="center"/>
    </xf>
    <xf numFmtId="0" fontId="11" fillId="0" borderId="0" xfId="0" applyFont="1" applyAlignment="1">
      <alignment horizontal="center" vertical="center"/>
    </xf>
    <xf numFmtId="0" fontId="6" fillId="0" borderId="0" xfId="0" applyFont="1" applyAlignment="1">
      <alignment horizontal="justify" vertical="center" wrapText="1"/>
    </xf>
    <xf numFmtId="0" fontId="16" fillId="0" borderId="0" xfId="0" applyFont="1" applyAlignment="1">
      <alignment horizontal="justify" vertical="center" wrapText="1"/>
    </xf>
    <xf numFmtId="164" fontId="8" fillId="0" borderId="0" xfId="0" applyNumberFormat="1" applyFont="1" applyAlignment="1">
      <alignment horizontal="center" vertical="center"/>
    </xf>
    <xf numFmtId="0" fontId="10" fillId="0" borderId="0" xfId="0" applyFont="1" applyAlignment="1">
      <alignment horizontal="center" vertical="center"/>
    </xf>
  </cellXfs>
  <cellStyles count="3">
    <cellStyle name="Currency" xfId="1" builtinId="4"/>
    <cellStyle name="Currency 2" xfId="2" xr:uid="{D1814925-693D-4CA5-BBDA-224C88BF445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6D001-2BEE-45BD-805D-502FF6E1B46D}">
  <sheetPr>
    <tabColor theme="9" tint="-0.249977111117893"/>
    <pageSetUpPr fitToPage="1"/>
  </sheetPr>
  <dimension ref="A1:KM620"/>
  <sheetViews>
    <sheetView tabSelected="1" showWhiteSpace="0" view="pageBreakPreview" zoomScale="134" zoomScaleNormal="134" zoomScaleSheetLayoutView="134" workbookViewId="0">
      <selection activeCell="C2" sqref="C2"/>
    </sheetView>
  </sheetViews>
  <sheetFormatPr defaultColWidth="9.21875" defaultRowHeight="13.8" x14ac:dyDescent="0.3"/>
  <cols>
    <col min="1" max="1" width="2.77734375" style="7" customWidth="1"/>
    <col min="2" max="2" width="7.21875" style="5" customWidth="1"/>
    <col min="3" max="3" width="73.77734375" style="5" customWidth="1"/>
    <col min="4" max="4" width="15.21875" style="5" customWidth="1"/>
    <col min="5" max="5" width="20" style="5" customWidth="1"/>
    <col min="6" max="6" width="18.44140625" style="5" customWidth="1"/>
    <col min="7" max="7" width="11.77734375" style="5" customWidth="1"/>
    <col min="8" max="8" width="7.44140625" style="5" customWidth="1"/>
    <col min="9" max="9" width="4.44140625" style="5" customWidth="1"/>
    <col min="10" max="10" width="4.77734375" style="5" customWidth="1"/>
    <col min="11" max="15" width="9.21875" style="5" customWidth="1"/>
    <col min="16" max="16384" width="9.21875" style="5"/>
  </cols>
  <sheetData>
    <row r="1" spans="1:4" ht="15" customHeight="1" x14ac:dyDescent="0.3">
      <c r="B1" s="7"/>
      <c r="C1" s="57" t="s">
        <v>443</v>
      </c>
      <c r="D1" s="57"/>
    </row>
    <row r="2" spans="1:4" x14ac:dyDescent="0.3">
      <c r="B2" s="7"/>
      <c r="C2" s="9" t="s">
        <v>447</v>
      </c>
      <c r="D2" s="41"/>
    </row>
    <row r="3" spans="1:4" x14ac:dyDescent="0.3">
      <c r="B3" s="9" t="s">
        <v>0</v>
      </c>
      <c r="C3" s="9"/>
      <c r="D3" s="24"/>
    </row>
    <row r="4" spans="1:4" x14ac:dyDescent="0.3">
      <c r="B4" s="7"/>
      <c r="C4" s="7"/>
      <c r="D4" s="7"/>
    </row>
    <row r="5" spans="1:4" ht="24.6" x14ac:dyDescent="0.3">
      <c r="A5" s="58" t="s">
        <v>444</v>
      </c>
      <c r="B5" s="58"/>
      <c r="C5" s="58"/>
      <c r="D5" s="58"/>
    </row>
    <row r="6" spans="1:4" ht="16.5" customHeight="1" x14ac:dyDescent="0.3">
      <c r="B6" s="8"/>
      <c r="C6" s="8"/>
      <c r="D6" s="8"/>
    </row>
    <row r="7" spans="1:4" ht="20.399999999999999" x14ac:dyDescent="0.3">
      <c r="A7" s="62" t="s">
        <v>1</v>
      </c>
      <c r="B7" s="62"/>
      <c r="C7" s="62"/>
      <c r="D7" s="62"/>
    </row>
    <row r="8" spans="1:4" ht="15" customHeight="1" x14ac:dyDescent="0.3">
      <c r="B8" s="8"/>
      <c r="C8" s="8"/>
      <c r="D8" s="8"/>
    </row>
    <row r="9" spans="1:4" ht="15" customHeight="1" x14ac:dyDescent="0.3">
      <c r="B9" s="8"/>
      <c r="C9" s="8"/>
      <c r="D9" s="8"/>
    </row>
    <row r="10" spans="1:4" ht="17.399999999999999" x14ac:dyDescent="0.3">
      <c r="A10" s="61">
        <v>45561</v>
      </c>
      <c r="B10" s="61"/>
      <c r="C10" s="61"/>
      <c r="D10" s="61"/>
    </row>
    <row r="11" spans="1:4" x14ac:dyDescent="0.3">
      <c r="B11" s="7"/>
      <c r="C11" s="25"/>
      <c r="D11" s="7"/>
    </row>
    <row r="12" spans="1:4" x14ac:dyDescent="0.3">
      <c r="B12" s="7"/>
      <c r="C12" s="25"/>
      <c r="D12" s="7"/>
    </row>
    <row r="13" spans="1:4" ht="15" customHeight="1" x14ac:dyDescent="0.3">
      <c r="B13" s="7"/>
      <c r="C13" s="7"/>
      <c r="D13" s="7"/>
    </row>
    <row r="14" spans="1:4" ht="15" customHeight="1" x14ac:dyDescent="0.3">
      <c r="B14" s="59" t="s">
        <v>445</v>
      </c>
      <c r="C14" s="59"/>
      <c r="D14" s="59"/>
    </row>
    <row r="15" spans="1:4" ht="15" customHeight="1" x14ac:dyDescent="0.3">
      <c r="B15" s="59"/>
      <c r="C15" s="59"/>
      <c r="D15" s="59"/>
    </row>
    <row r="16" spans="1:4" ht="15" customHeight="1" x14ac:dyDescent="0.3">
      <c r="B16" s="42"/>
      <c r="C16" s="42"/>
      <c r="D16" s="42"/>
    </row>
    <row r="17" spans="1:6" x14ac:dyDescent="0.3">
      <c r="B17" s="26"/>
      <c r="C17" s="26"/>
      <c r="D17" s="26"/>
    </row>
    <row r="18" spans="1:6" x14ac:dyDescent="0.3">
      <c r="B18" s="6"/>
      <c r="C18" s="6"/>
      <c r="D18" s="6"/>
    </row>
    <row r="19" spans="1:6" ht="28.2" customHeight="1" x14ac:dyDescent="0.3">
      <c r="B19" s="10" t="s">
        <v>442</v>
      </c>
      <c r="C19" s="10"/>
      <c r="D19" s="10"/>
    </row>
    <row r="20" spans="1:6" x14ac:dyDescent="0.3">
      <c r="B20" s="55"/>
      <c r="C20" s="55"/>
      <c r="D20" s="55"/>
    </row>
    <row r="21" spans="1:6" ht="14.4" x14ac:dyDescent="0.3">
      <c r="A21" s="23">
        <f t="shared" ref="A21:A39" si="0">ROW(A1)</f>
        <v>1</v>
      </c>
      <c r="B21" s="27" t="s">
        <v>2</v>
      </c>
      <c r="C21" s="27"/>
    </row>
    <row r="22" spans="1:6" x14ac:dyDescent="0.3">
      <c r="A22" s="23">
        <f t="shared" si="0"/>
        <v>2</v>
      </c>
      <c r="B22" s="6"/>
      <c r="C22" s="6"/>
      <c r="D22" s="6"/>
      <c r="E22" s="6"/>
      <c r="F22" s="6"/>
    </row>
    <row r="23" spans="1:6" ht="15" customHeight="1" x14ac:dyDescent="0.3">
      <c r="A23" s="23">
        <f t="shared" si="0"/>
        <v>3</v>
      </c>
      <c r="B23" s="59" t="s">
        <v>3</v>
      </c>
      <c r="C23" s="60"/>
      <c r="D23" s="60"/>
      <c r="E23" s="6"/>
      <c r="F23" s="6"/>
    </row>
    <row r="24" spans="1:6" x14ac:dyDescent="0.3">
      <c r="A24" s="23">
        <f t="shared" si="0"/>
        <v>4</v>
      </c>
      <c r="B24" s="60"/>
      <c r="C24" s="60"/>
      <c r="D24" s="60"/>
      <c r="E24" s="6"/>
      <c r="F24" s="6"/>
    </row>
    <row r="25" spans="1:6" x14ac:dyDescent="0.3">
      <c r="A25" s="23">
        <f t="shared" si="0"/>
        <v>5</v>
      </c>
      <c r="B25" s="60"/>
      <c r="C25" s="60"/>
      <c r="D25" s="60"/>
      <c r="E25" s="6"/>
      <c r="F25" s="6"/>
    </row>
    <row r="26" spans="1:6" x14ac:dyDescent="0.3">
      <c r="A26" s="23">
        <f t="shared" si="0"/>
        <v>6</v>
      </c>
      <c r="B26" s="43"/>
      <c r="C26" s="43"/>
      <c r="D26" s="43"/>
      <c r="E26" s="6"/>
      <c r="F26" s="6"/>
    </row>
    <row r="27" spans="1:6" x14ac:dyDescent="0.3">
      <c r="A27" s="23">
        <f t="shared" si="0"/>
        <v>7</v>
      </c>
      <c r="B27" s="7"/>
      <c r="C27" s="7"/>
      <c r="E27" s="6"/>
      <c r="F27" s="6"/>
    </row>
    <row r="28" spans="1:6" x14ac:dyDescent="0.3">
      <c r="A28" s="23">
        <f t="shared" si="0"/>
        <v>8</v>
      </c>
      <c r="B28" s="9" t="s">
        <v>4</v>
      </c>
      <c r="C28" s="7"/>
      <c r="D28" s="41" t="s">
        <v>5</v>
      </c>
      <c r="E28" s="6"/>
      <c r="F28" s="6"/>
    </row>
    <row r="29" spans="1:6" x14ac:dyDescent="0.3">
      <c r="A29" s="23">
        <f t="shared" si="0"/>
        <v>9</v>
      </c>
      <c r="B29" s="7"/>
      <c r="C29" s="7"/>
      <c r="D29" s="7"/>
      <c r="E29" s="6"/>
      <c r="F29" s="6"/>
    </row>
    <row r="30" spans="1:6" x14ac:dyDescent="0.3">
      <c r="A30" s="23">
        <f t="shared" si="0"/>
        <v>10</v>
      </c>
      <c r="B30" s="41" t="s">
        <v>6</v>
      </c>
      <c r="C30" s="9" t="s">
        <v>7</v>
      </c>
      <c r="D30" s="12"/>
      <c r="E30" s="6"/>
      <c r="F30" s="6"/>
    </row>
    <row r="31" spans="1:6" x14ac:dyDescent="0.3">
      <c r="A31" s="23">
        <f t="shared" si="0"/>
        <v>11</v>
      </c>
      <c r="B31" s="41" t="s">
        <v>0</v>
      </c>
      <c r="C31" s="9" t="s">
        <v>8</v>
      </c>
      <c r="D31" s="11">
        <v>10483991</v>
      </c>
      <c r="E31" s="4">
        <v>10483991</v>
      </c>
      <c r="F31" s="6"/>
    </row>
    <row r="32" spans="1:6" x14ac:dyDescent="0.3">
      <c r="A32" s="23">
        <f t="shared" si="0"/>
        <v>12</v>
      </c>
      <c r="B32" s="41"/>
      <c r="C32" s="9" t="s">
        <v>9</v>
      </c>
      <c r="D32" s="12">
        <v>3896804</v>
      </c>
      <c r="E32" s="4">
        <v>3896804</v>
      </c>
      <c r="F32" s="6"/>
    </row>
    <row r="33" spans="1:6" x14ac:dyDescent="0.3">
      <c r="A33" s="23">
        <f t="shared" si="0"/>
        <v>13</v>
      </c>
      <c r="B33" s="41"/>
      <c r="C33" s="9" t="s">
        <v>10</v>
      </c>
      <c r="D33" s="12">
        <v>290840</v>
      </c>
      <c r="E33" s="4">
        <v>290840</v>
      </c>
      <c r="F33" s="6"/>
    </row>
    <row r="34" spans="1:6" x14ac:dyDescent="0.3">
      <c r="A34" s="23">
        <f t="shared" si="0"/>
        <v>14</v>
      </c>
      <c r="B34" s="41"/>
      <c r="C34" s="9" t="s">
        <v>11</v>
      </c>
      <c r="D34" s="12">
        <v>3254314</v>
      </c>
      <c r="E34" s="4">
        <f>SUM(3814314-F42)</f>
        <v>3254314</v>
      </c>
      <c r="F34" s="6"/>
    </row>
    <row r="35" spans="1:6" x14ac:dyDescent="0.3">
      <c r="A35" s="23">
        <f t="shared" si="0"/>
        <v>15</v>
      </c>
      <c r="B35" s="41"/>
      <c r="C35" s="9" t="s">
        <v>12</v>
      </c>
      <c r="D35" s="12">
        <v>287400</v>
      </c>
      <c r="E35" s="4">
        <v>287400</v>
      </c>
      <c r="F35" s="6"/>
    </row>
    <row r="36" spans="1:6" x14ac:dyDescent="0.3">
      <c r="A36" s="23">
        <f t="shared" si="0"/>
        <v>16</v>
      </c>
      <c r="B36" s="41"/>
      <c r="C36" s="9" t="s">
        <v>13</v>
      </c>
      <c r="D36" s="12">
        <v>58514</v>
      </c>
      <c r="E36" s="4">
        <v>58514</v>
      </c>
      <c r="F36" s="6"/>
    </row>
    <row r="37" spans="1:6" x14ac:dyDescent="0.3">
      <c r="A37" s="23">
        <f t="shared" si="0"/>
        <v>17</v>
      </c>
      <c r="B37" s="41"/>
      <c r="C37" s="35" t="s">
        <v>14</v>
      </c>
      <c r="D37" s="36">
        <f>SUM(D31:D36)</f>
        <v>18271863</v>
      </c>
      <c r="E37" s="4">
        <f>SUM(E31:E36)</f>
        <v>18271863</v>
      </c>
      <c r="F37" s="6"/>
    </row>
    <row r="38" spans="1:6" x14ac:dyDescent="0.3">
      <c r="A38" s="23">
        <f t="shared" si="0"/>
        <v>18</v>
      </c>
      <c r="B38" s="41"/>
      <c r="C38" s="9" t="s">
        <v>15</v>
      </c>
      <c r="D38" s="12">
        <v>40000</v>
      </c>
      <c r="E38" s="4">
        <v>40000</v>
      </c>
      <c r="F38" s="6"/>
    </row>
    <row r="39" spans="1:6" x14ac:dyDescent="0.3">
      <c r="A39" s="23">
        <f t="shared" si="0"/>
        <v>19</v>
      </c>
      <c r="B39" s="41"/>
      <c r="C39" s="9" t="s">
        <v>16</v>
      </c>
      <c r="D39" s="12">
        <v>70000</v>
      </c>
      <c r="E39" s="4">
        <v>70000</v>
      </c>
      <c r="F39" s="6"/>
    </row>
    <row r="40" spans="1:6" x14ac:dyDescent="0.3">
      <c r="A40" s="23">
        <f t="shared" ref="A40:A46" si="1">ROW(A21)</f>
        <v>21</v>
      </c>
      <c r="B40" s="41"/>
      <c r="C40" s="9" t="s">
        <v>17</v>
      </c>
      <c r="D40" s="12">
        <v>100000</v>
      </c>
      <c r="E40" s="4">
        <v>100000</v>
      </c>
      <c r="F40" s="6"/>
    </row>
    <row r="41" spans="1:6" x14ac:dyDescent="0.3">
      <c r="A41" s="23">
        <f t="shared" si="1"/>
        <v>22</v>
      </c>
      <c r="B41" s="41"/>
      <c r="C41" s="9" t="s">
        <v>18</v>
      </c>
      <c r="D41" s="12">
        <v>250000</v>
      </c>
      <c r="E41" s="4">
        <v>250000</v>
      </c>
      <c r="F41" s="6"/>
    </row>
    <row r="42" spans="1:6" x14ac:dyDescent="0.3">
      <c r="A42" s="23">
        <f t="shared" si="1"/>
        <v>23</v>
      </c>
      <c r="B42" s="41"/>
      <c r="C42" s="9" t="s">
        <v>19</v>
      </c>
      <c r="D42" s="12">
        <v>100000</v>
      </c>
      <c r="E42" s="4">
        <v>100000</v>
      </c>
      <c r="F42" s="47">
        <f>SUM(E38:E42)</f>
        <v>560000</v>
      </c>
    </row>
    <row r="43" spans="1:6" x14ac:dyDescent="0.3">
      <c r="A43" s="23">
        <f t="shared" si="1"/>
        <v>24</v>
      </c>
      <c r="B43" s="41"/>
      <c r="C43" s="35" t="s">
        <v>20</v>
      </c>
      <c r="D43" s="33">
        <f>SUM(D37,D38:D42)</f>
        <v>18831863</v>
      </c>
      <c r="E43" s="4">
        <f>SUM(E37,E38:E42)</f>
        <v>18831863</v>
      </c>
      <c r="F43" s="6"/>
    </row>
    <row r="44" spans="1:6" x14ac:dyDescent="0.3">
      <c r="A44" s="23">
        <f t="shared" si="1"/>
        <v>25</v>
      </c>
      <c r="B44" s="41"/>
      <c r="C44" s="9"/>
      <c r="D44" s="11"/>
      <c r="E44" s="28"/>
      <c r="F44" s="6"/>
    </row>
    <row r="45" spans="1:6" x14ac:dyDescent="0.3">
      <c r="A45" s="23">
        <f t="shared" si="1"/>
        <v>26</v>
      </c>
      <c r="B45" s="41" t="s">
        <v>21</v>
      </c>
      <c r="C45" s="9" t="s">
        <v>22</v>
      </c>
      <c r="D45" s="11"/>
      <c r="E45" s="6"/>
      <c r="F45" s="6"/>
    </row>
    <row r="46" spans="1:6" x14ac:dyDescent="0.3">
      <c r="A46" s="23">
        <f t="shared" si="1"/>
        <v>27</v>
      </c>
      <c r="B46" s="41"/>
      <c r="C46" s="9" t="s">
        <v>8</v>
      </c>
      <c r="D46" s="11">
        <f>SUM(13892534-1168110.52)</f>
        <v>12724423.48</v>
      </c>
      <c r="E46" s="6"/>
      <c r="F46" s="6"/>
    </row>
    <row r="47" spans="1:6" x14ac:dyDescent="0.3">
      <c r="A47" s="23">
        <f t="shared" ref="A47:A65" si="2">ROW(A1)</f>
        <v>1</v>
      </c>
      <c r="B47" s="41"/>
      <c r="C47" s="9" t="s">
        <v>9</v>
      </c>
      <c r="D47" s="11">
        <f>SUM(6098387-459091.17)</f>
        <v>5639295.8300000001</v>
      </c>
      <c r="E47" s="6"/>
      <c r="F47" s="6"/>
    </row>
    <row r="48" spans="1:6" x14ac:dyDescent="0.3">
      <c r="A48" s="23">
        <f t="shared" si="2"/>
        <v>2</v>
      </c>
      <c r="B48" s="41"/>
      <c r="C48" s="9" t="s">
        <v>23</v>
      </c>
      <c r="D48" s="11">
        <v>1039850</v>
      </c>
      <c r="E48" s="6"/>
      <c r="F48" s="6"/>
    </row>
    <row r="49" spans="1:6" x14ac:dyDescent="0.3">
      <c r="A49" s="23">
        <f t="shared" si="2"/>
        <v>3</v>
      </c>
      <c r="B49" s="41"/>
      <c r="C49" s="9" t="s">
        <v>24</v>
      </c>
      <c r="D49" s="11">
        <v>403207</v>
      </c>
      <c r="E49" s="6"/>
      <c r="F49" s="6"/>
    </row>
    <row r="50" spans="1:6" x14ac:dyDescent="0.3">
      <c r="A50" s="23">
        <f t="shared" si="2"/>
        <v>4</v>
      </c>
      <c r="B50" s="41"/>
      <c r="C50" s="9" t="s">
        <v>10</v>
      </c>
      <c r="D50" s="11">
        <f>SUM(1682201-100000)</f>
        <v>1582201</v>
      </c>
      <c r="E50" s="6"/>
      <c r="F50" s="6"/>
    </row>
    <row r="51" spans="1:6" x14ac:dyDescent="0.3">
      <c r="A51" s="23">
        <f t="shared" si="2"/>
        <v>5</v>
      </c>
      <c r="B51" s="41"/>
      <c r="C51" s="9" t="s">
        <v>11</v>
      </c>
      <c r="D51" s="11">
        <f>SUM(14235572-D52)</f>
        <v>13835572</v>
      </c>
      <c r="E51" s="6"/>
      <c r="F51" s="6"/>
    </row>
    <row r="52" spans="1:6" x14ac:dyDescent="0.3">
      <c r="A52" s="23">
        <f t="shared" si="2"/>
        <v>6</v>
      </c>
      <c r="B52" s="41"/>
      <c r="C52" s="9" t="s">
        <v>25</v>
      </c>
      <c r="D52" s="11">
        <v>400000</v>
      </c>
      <c r="E52" s="6"/>
      <c r="F52" s="6"/>
    </row>
    <row r="53" spans="1:6" x14ac:dyDescent="0.3">
      <c r="A53" s="23">
        <f t="shared" si="2"/>
        <v>7</v>
      </c>
      <c r="B53" s="41"/>
      <c r="C53" s="9" t="s">
        <v>12</v>
      </c>
      <c r="D53" s="11">
        <f>SUM(500000+100000)</f>
        <v>600000</v>
      </c>
      <c r="E53" s="6"/>
      <c r="F53" s="6"/>
    </row>
    <row r="54" spans="1:6" x14ac:dyDescent="0.3">
      <c r="A54" s="23">
        <f t="shared" si="2"/>
        <v>8</v>
      </c>
      <c r="B54" s="41"/>
      <c r="C54" s="35" t="s">
        <v>26</v>
      </c>
      <c r="D54" s="33">
        <f>SUM(D46:D53)</f>
        <v>36224549.310000002</v>
      </c>
      <c r="E54" s="6"/>
      <c r="F54" s="6"/>
    </row>
    <row r="55" spans="1:6" x14ac:dyDescent="0.3">
      <c r="A55" s="23">
        <f t="shared" si="2"/>
        <v>9</v>
      </c>
      <c r="B55" s="41"/>
      <c r="C55" s="9"/>
      <c r="D55" s="11"/>
      <c r="E55" s="6"/>
      <c r="F55" s="6"/>
    </row>
    <row r="56" spans="1:6" x14ac:dyDescent="0.3">
      <c r="A56" s="23">
        <f t="shared" si="2"/>
        <v>10</v>
      </c>
      <c r="B56" s="41" t="s">
        <v>27</v>
      </c>
      <c r="C56" s="9" t="s">
        <v>28</v>
      </c>
      <c r="D56" s="11"/>
      <c r="E56" s="6"/>
      <c r="F56" s="6"/>
    </row>
    <row r="57" spans="1:6" x14ac:dyDescent="0.3">
      <c r="A57" s="23">
        <f t="shared" si="2"/>
        <v>11</v>
      </c>
      <c r="B57" s="41"/>
      <c r="C57" s="9" t="s">
        <v>29</v>
      </c>
      <c r="D57" s="11">
        <f>SUM(12490824-198330)</f>
        <v>12292494</v>
      </c>
      <c r="E57" s="4">
        <f>SUM(13715824-F67)</f>
        <v>12490824</v>
      </c>
      <c r="F57" s="6"/>
    </row>
    <row r="58" spans="1:6" x14ac:dyDescent="0.3">
      <c r="A58" s="23">
        <f t="shared" si="2"/>
        <v>12</v>
      </c>
      <c r="B58" s="41"/>
      <c r="C58" s="35" t="s">
        <v>30</v>
      </c>
      <c r="D58" s="33">
        <f>SUM(D57)</f>
        <v>12292494</v>
      </c>
      <c r="E58" s="4">
        <f>SUM(E57)</f>
        <v>12490824</v>
      </c>
      <c r="F58" s="6"/>
    </row>
    <row r="59" spans="1:6" x14ac:dyDescent="0.3">
      <c r="A59" s="23">
        <f t="shared" si="2"/>
        <v>13</v>
      </c>
      <c r="B59" s="41"/>
      <c r="C59" s="9" t="s">
        <v>31</v>
      </c>
      <c r="D59" s="11">
        <v>400000</v>
      </c>
      <c r="E59" s="4">
        <v>400000</v>
      </c>
      <c r="F59" s="6"/>
    </row>
    <row r="60" spans="1:6" x14ac:dyDescent="0.3">
      <c r="A60" s="23">
        <f t="shared" si="2"/>
        <v>14</v>
      </c>
      <c r="B60" s="41"/>
      <c r="C60" s="9" t="s">
        <v>32</v>
      </c>
      <c r="D60" s="11">
        <v>150000</v>
      </c>
      <c r="E60" s="4">
        <v>150000</v>
      </c>
      <c r="F60" s="6"/>
    </row>
    <row r="61" spans="1:6" x14ac:dyDescent="0.3">
      <c r="A61" s="23">
        <f t="shared" si="2"/>
        <v>15</v>
      </c>
      <c r="B61" s="41"/>
      <c r="C61" s="9" t="s">
        <v>33</v>
      </c>
      <c r="D61" s="11">
        <v>10000</v>
      </c>
      <c r="E61" s="4">
        <v>10000</v>
      </c>
      <c r="F61" s="6"/>
    </row>
    <row r="62" spans="1:6" x14ac:dyDescent="0.3">
      <c r="A62" s="23">
        <f t="shared" si="2"/>
        <v>16</v>
      </c>
      <c r="B62" s="41"/>
      <c r="C62" s="9" t="s">
        <v>34</v>
      </c>
      <c r="D62" s="11">
        <v>50000</v>
      </c>
      <c r="E62" s="4">
        <v>50000</v>
      </c>
      <c r="F62" s="6"/>
    </row>
    <row r="63" spans="1:6" x14ac:dyDescent="0.3">
      <c r="A63" s="23">
        <f t="shared" si="2"/>
        <v>17</v>
      </c>
      <c r="B63" s="41"/>
      <c r="C63" s="9" t="s">
        <v>35</v>
      </c>
      <c r="D63" s="11">
        <v>15000</v>
      </c>
      <c r="E63" s="4">
        <v>15000</v>
      </c>
      <c r="F63" s="6"/>
    </row>
    <row r="64" spans="1:6" x14ac:dyDescent="0.3">
      <c r="A64" s="23">
        <f t="shared" si="2"/>
        <v>18</v>
      </c>
      <c r="B64" s="41"/>
      <c r="C64" s="9" t="s">
        <v>36</v>
      </c>
      <c r="D64" s="11">
        <v>150000</v>
      </c>
      <c r="E64" s="4">
        <v>150000</v>
      </c>
      <c r="F64" s="6"/>
    </row>
    <row r="65" spans="1:6" x14ac:dyDescent="0.3">
      <c r="A65" s="23">
        <f t="shared" si="2"/>
        <v>19</v>
      </c>
      <c r="B65" s="41"/>
      <c r="C65" s="9" t="s">
        <v>37</v>
      </c>
      <c r="D65" s="11">
        <v>75000</v>
      </c>
      <c r="E65" s="4">
        <v>75000</v>
      </c>
      <c r="F65" s="6"/>
    </row>
    <row r="66" spans="1:6" x14ac:dyDescent="0.3">
      <c r="A66" s="23">
        <f t="shared" ref="A66:A72" si="3">ROW(A21)</f>
        <v>21</v>
      </c>
      <c r="B66" s="41"/>
      <c r="C66" s="9" t="s">
        <v>38</v>
      </c>
      <c r="D66" s="11">
        <v>225000</v>
      </c>
      <c r="E66" s="4">
        <v>225000</v>
      </c>
      <c r="F66" s="6"/>
    </row>
    <row r="67" spans="1:6" x14ac:dyDescent="0.3">
      <c r="A67" s="23">
        <f t="shared" si="3"/>
        <v>22</v>
      </c>
      <c r="B67" s="41"/>
      <c r="C67" s="9" t="s">
        <v>39</v>
      </c>
      <c r="D67" s="11">
        <f>SUM(275000-125000)</f>
        <v>150000</v>
      </c>
      <c r="E67" s="4">
        <v>150000</v>
      </c>
      <c r="F67" s="28">
        <f>SUM(E59:E67)</f>
        <v>1225000</v>
      </c>
    </row>
    <row r="68" spans="1:6" x14ac:dyDescent="0.3">
      <c r="A68" s="23">
        <f t="shared" si="3"/>
        <v>23</v>
      </c>
      <c r="B68" s="41"/>
      <c r="C68" s="9" t="s">
        <v>40</v>
      </c>
      <c r="D68" s="11">
        <v>50000</v>
      </c>
      <c r="E68" s="4"/>
      <c r="F68" s="28"/>
    </row>
    <row r="69" spans="1:6" x14ac:dyDescent="0.3">
      <c r="A69" s="23">
        <f t="shared" si="3"/>
        <v>24</v>
      </c>
      <c r="B69" s="41"/>
      <c r="C69" s="35" t="s">
        <v>41</v>
      </c>
      <c r="D69" s="33">
        <f>SUM(D58,D59:D68)</f>
        <v>13567494</v>
      </c>
      <c r="E69" s="4">
        <f>SUM(E58,E59:E67)</f>
        <v>13715824</v>
      </c>
      <c r="F69" s="6"/>
    </row>
    <row r="70" spans="1:6" x14ac:dyDescent="0.3">
      <c r="A70" s="23">
        <f t="shared" si="3"/>
        <v>25</v>
      </c>
      <c r="B70" s="41"/>
      <c r="C70" s="9"/>
      <c r="D70" s="11"/>
      <c r="E70" s="6"/>
      <c r="F70" s="6"/>
    </row>
    <row r="71" spans="1:6" x14ac:dyDescent="0.3">
      <c r="A71" s="23">
        <f t="shared" si="3"/>
        <v>26</v>
      </c>
      <c r="B71" s="41" t="s">
        <v>42</v>
      </c>
      <c r="C71" s="9" t="s">
        <v>43</v>
      </c>
      <c r="D71" s="11"/>
      <c r="E71" s="6"/>
      <c r="F71" s="6"/>
    </row>
    <row r="72" spans="1:6" x14ac:dyDescent="0.3">
      <c r="A72" s="23">
        <f t="shared" si="3"/>
        <v>27</v>
      </c>
      <c r="B72" s="41"/>
      <c r="C72" s="9" t="s">
        <v>8</v>
      </c>
      <c r="D72" s="11">
        <f>SUM(3267643-1462327.4)</f>
        <v>1805315.6</v>
      </c>
      <c r="E72" s="46">
        <f>SUM(4257643-990000)</f>
        <v>3267643</v>
      </c>
      <c r="F72" s="6"/>
    </row>
    <row r="73" spans="1:6" x14ac:dyDescent="0.3">
      <c r="A73" s="23">
        <f t="shared" ref="A73:A93" si="4">ROW(A28)</f>
        <v>28</v>
      </c>
      <c r="B73" s="41"/>
      <c r="C73" s="9" t="s">
        <v>9</v>
      </c>
      <c r="D73" s="11">
        <f>SUM(1373047-600480.8)</f>
        <v>772566.2</v>
      </c>
      <c r="E73" s="46">
        <f>SUM(1833566-460519)</f>
        <v>1373047</v>
      </c>
      <c r="F73" s="6"/>
    </row>
    <row r="74" spans="1:6" x14ac:dyDescent="0.3">
      <c r="A74" s="23">
        <f t="shared" si="4"/>
        <v>29</v>
      </c>
      <c r="B74" s="41"/>
      <c r="C74" s="9" t="s">
        <v>23</v>
      </c>
      <c r="D74" s="12">
        <v>731163.7</v>
      </c>
      <c r="E74" s="46">
        <v>0</v>
      </c>
      <c r="F74" s="6"/>
    </row>
    <row r="75" spans="1:6" x14ac:dyDescent="0.3">
      <c r="A75" s="23">
        <f t="shared" si="4"/>
        <v>30</v>
      </c>
      <c r="B75" s="41"/>
      <c r="C75" s="9" t="s">
        <v>24</v>
      </c>
      <c r="D75" s="12">
        <v>300240.40000000002</v>
      </c>
      <c r="E75" s="46">
        <v>0</v>
      </c>
      <c r="F75" s="6"/>
    </row>
    <row r="76" spans="1:6" x14ac:dyDescent="0.3">
      <c r="A76" s="23">
        <f t="shared" si="4"/>
        <v>31</v>
      </c>
      <c r="B76" s="41"/>
      <c r="C76" s="9" t="s">
        <v>10</v>
      </c>
      <c r="D76" s="11">
        <v>380500</v>
      </c>
      <c r="E76" s="46">
        <f>SUM(380500-8000)</f>
        <v>372500</v>
      </c>
      <c r="F76" s="6"/>
    </row>
    <row r="77" spans="1:6" x14ac:dyDescent="0.3">
      <c r="A77" s="23">
        <f t="shared" si="4"/>
        <v>32</v>
      </c>
      <c r="B77" s="41"/>
      <c r="C77" s="9" t="s">
        <v>11</v>
      </c>
      <c r="D77" s="11">
        <v>1239500</v>
      </c>
      <c r="E77" s="46">
        <f>SUM(1252500-13000)</f>
        <v>1239500</v>
      </c>
      <c r="F77" s="6"/>
    </row>
    <row r="78" spans="1:6" x14ac:dyDescent="0.3">
      <c r="A78" s="23">
        <f t="shared" si="4"/>
        <v>33</v>
      </c>
      <c r="B78" s="41"/>
      <c r="C78" s="9" t="s">
        <v>12</v>
      </c>
      <c r="D78" s="11">
        <v>100000</v>
      </c>
      <c r="E78" s="46">
        <v>100000</v>
      </c>
      <c r="F78" s="6"/>
    </row>
    <row r="79" spans="1:6" x14ac:dyDescent="0.3">
      <c r="A79" s="23">
        <f t="shared" si="4"/>
        <v>34</v>
      </c>
      <c r="B79" s="41"/>
      <c r="C79" s="9" t="s">
        <v>44</v>
      </c>
      <c r="D79" s="11">
        <v>45000</v>
      </c>
      <c r="E79" s="46">
        <v>45000</v>
      </c>
      <c r="F79" s="6"/>
    </row>
    <row r="80" spans="1:6" x14ac:dyDescent="0.3">
      <c r="A80" s="23">
        <f t="shared" si="4"/>
        <v>35</v>
      </c>
      <c r="B80" s="41"/>
      <c r="C80" s="35" t="s">
        <v>45</v>
      </c>
      <c r="D80" s="33">
        <f>SUM(D72:D79)</f>
        <v>5374285.9000000004</v>
      </c>
      <c r="E80" s="46" t="e">
        <f>SUM(#REF!,E90)</f>
        <v>#REF!</v>
      </c>
      <c r="F80" s="6"/>
    </row>
    <row r="81" spans="1:6" x14ac:dyDescent="0.3">
      <c r="A81" s="23">
        <f t="shared" si="4"/>
        <v>36</v>
      </c>
      <c r="B81" s="41"/>
      <c r="C81" s="9"/>
      <c r="D81" s="11"/>
      <c r="E81" s="28"/>
      <c r="F81" s="6"/>
    </row>
    <row r="82" spans="1:6" x14ac:dyDescent="0.3">
      <c r="A82" s="23">
        <f t="shared" si="4"/>
        <v>37</v>
      </c>
      <c r="B82" s="41" t="s">
        <v>46</v>
      </c>
      <c r="C82" s="9" t="s">
        <v>47</v>
      </c>
      <c r="D82" s="9"/>
      <c r="E82" s="6"/>
      <c r="F82" s="6"/>
    </row>
    <row r="83" spans="1:6" x14ac:dyDescent="0.3">
      <c r="A83" s="23">
        <f t="shared" si="4"/>
        <v>38</v>
      </c>
      <c r="B83" s="41"/>
      <c r="C83" s="9" t="s">
        <v>8</v>
      </c>
      <c r="D83" s="11">
        <f>SUM(3249938-232121.86)</f>
        <v>3017816.14</v>
      </c>
      <c r="E83" s="4">
        <v>3249938</v>
      </c>
      <c r="F83" s="6"/>
    </row>
    <row r="84" spans="1:6" x14ac:dyDescent="0.3">
      <c r="A84" s="23">
        <f t="shared" si="4"/>
        <v>39</v>
      </c>
      <c r="B84" s="41"/>
      <c r="C84" s="9" t="s">
        <v>9</v>
      </c>
      <c r="D84" s="12">
        <f>SUM(1458360-101186.28)</f>
        <v>1357173.72</v>
      </c>
      <c r="E84" s="4">
        <v>1458360</v>
      </c>
      <c r="F84" s="6"/>
    </row>
    <row r="85" spans="1:6" x14ac:dyDescent="0.3">
      <c r="A85" s="23">
        <f t="shared" si="4"/>
        <v>40</v>
      </c>
      <c r="B85" s="41"/>
      <c r="C85" s="9" t="s">
        <v>23</v>
      </c>
      <c r="D85" s="12">
        <f>SUM(232121.86/2)</f>
        <v>116060.93</v>
      </c>
      <c r="E85" s="4"/>
      <c r="F85" s="6"/>
    </row>
    <row r="86" spans="1:6" x14ac:dyDescent="0.3">
      <c r="A86" s="23">
        <f t="shared" si="4"/>
        <v>41</v>
      </c>
      <c r="B86" s="41"/>
      <c r="C86" s="9" t="s">
        <v>24</v>
      </c>
      <c r="D86" s="12">
        <f>SUM(101186.28/2)</f>
        <v>50593.14</v>
      </c>
      <c r="E86" s="4"/>
      <c r="F86" s="6"/>
    </row>
    <row r="87" spans="1:6" x14ac:dyDescent="0.3">
      <c r="A87" s="23">
        <f t="shared" si="4"/>
        <v>42</v>
      </c>
      <c r="B87" s="41"/>
      <c r="C87" s="9" t="s">
        <v>10</v>
      </c>
      <c r="D87" s="12">
        <v>58000</v>
      </c>
      <c r="E87" s="4">
        <v>78000</v>
      </c>
      <c r="F87" s="6"/>
    </row>
    <row r="88" spans="1:6" x14ac:dyDescent="0.3">
      <c r="A88" s="23">
        <f t="shared" si="4"/>
        <v>43</v>
      </c>
      <c r="B88" s="41"/>
      <c r="C88" s="9" t="s">
        <v>11</v>
      </c>
      <c r="D88" s="12">
        <f>SUM(587664-119000)</f>
        <v>468664</v>
      </c>
      <c r="E88" s="4">
        <f>SUM(39403201-F96)</f>
        <v>567664</v>
      </c>
      <c r="F88" s="6"/>
    </row>
    <row r="89" spans="1:6" x14ac:dyDescent="0.3">
      <c r="A89" s="23">
        <f t="shared" si="4"/>
        <v>44</v>
      </c>
      <c r="B89" s="41"/>
      <c r="C89" s="35" t="s">
        <v>48</v>
      </c>
      <c r="D89" s="36">
        <f>SUM(D83:D88)</f>
        <v>5068307.93</v>
      </c>
      <c r="E89" s="4">
        <f>SUM(E83:E88)</f>
        <v>5353962</v>
      </c>
      <c r="F89" s="6"/>
    </row>
    <row r="90" spans="1:6" x14ac:dyDescent="0.3">
      <c r="A90" s="23">
        <f t="shared" si="4"/>
        <v>45</v>
      </c>
      <c r="B90" s="41"/>
      <c r="C90" s="9" t="s">
        <v>49</v>
      </c>
      <c r="D90" s="11">
        <f>SUM(1471519-506633.26)</f>
        <v>964885.74</v>
      </c>
      <c r="E90" s="48">
        <v>1471519</v>
      </c>
      <c r="F90" s="6"/>
    </row>
    <row r="91" spans="1:6" x14ac:dyDescent="0.3">
      <c r="A91" s="23">
        <f t="shared" si="4"/>
        <v>46</v>
      </c>
      <c r="B91" s="41"/>
      <c r="C91" s="9" t="s">
        <v>50</v>
      </c>
      <c r="D91" s="12">
        <v>17800000</v>
      </c>
      <c r="E91" s="4">
        <v>0</v>
      </c>
      <c r="F91" s="6"/>
    </row>
    <row r="92" spans="1:6" x14ac:dyDescent="0.3">
      <c r="A92" s="23">
        <f t="shared" si="4"/>
        <v>47</v>
      </c>
      <c r="B92" s="41"/>
      <c r="C92" s="2" t="s">
        <v>51</v>
      </c>
      <c r="D92" s="12">
        <v>38210672</v>
      </c>
      <c r="E92" s="4">
        <v>38120537</v>
      </c>
      <c r="F92" s="6"/>
    </row>
    <row r="93" spans="1:6" x14ac:dyDescent="0.3">
      <c r="A93" s="23">
        <f t="shared" si="4"/>
        <v>48</v>
      </c>
      <c r="B93" s="41"/>
      <c r="C93" s="2" t="s">
        <v>52</v>
      </c>
      <c r="D93" s="12">
        <v>80000</v>
      </c>
      <c r="E93" s="4">
        <v>80000</v>
      </c>
      <c r="F93" s="6"/>
    </row>
    <row r="94" spans="1:6" x14ac:dyDescent="0.3">
      <c r="A94" s="23">
        <f t="shared" ref="A94:A112" si="5">ROW(A1)</f>
        <v>1</v>
      </c>
      <c r="B94" s="41"/>
      <c r="C94" s="2" t="s">
        <v>53</v>
      </c>
      <c r="D94" s="12">
        <v>75000</v>
      </c>
      <c r="E94" s="4">
        <v>75000</v>
      </c>
      <c r="F94" s="6"/>
    </row>
    <row r="95" spans="1:6" x14ac:dyDescent="0.3">
      <c r="A95" s="23">
        <f t="shared" si="5"/>
        <v>2</v>
      </c>
      <c r="B95" s="41"/>
      <c r="C95" s="2" t="s">
        <v>54</v>
      </c>
      <c r="D95" s="12">
        <v>285000</v>
      </c>
      <c r="E95" s="4">
        <v>285000</v>
      </c>
      <c r="F95" s="6"/>
    </row>
    <row r="96" spans="1:6" x14ac:dyDescent="0.3">
      <c r="A96" s="23">
        <f t="shared" si="5"/>
        <v>3</v>
      </c>
      <c r="B96" s="41"/>
      <c r="C96" s="2" t="s">
        <v>55</v>
      </c>
      <c r="D96" s="12">
        <v>275000</v>
      </c>
      <c r="E96" s="4">
        <v>275000</v>
      </c>
      <c r="F96" s="28">
        <f>SUM(E92:E96)</f>
        <v>38835537</v>
      </c>
    </row>
    <row r="97" spans="1:6" x14ac:dyDescent="0.3">
      <c r="A97" s="23">
        <f t="shared" si="5"/>
        <v>4</v>
      </c>
      <c r="B97" s="41"/>
      <c r="C97" s="34" t="s">
        <v>56</v>
      </c>
      <c r="D97" s="36">
        <f>SUM(D89,D90:D96)</f>
        <v>62758865.670000002</v>
      </c>
      <c r="E97" s="4">
        <f>SUM(E89,E91:E96)</f>
        <v>44189499</v>
      </c>
      <c r="F97" s="6"/>
    </row>
    <row r="98" spans="1:6" x14ac:dyDescent="0.3">
      <c r="A98" s="23">
        <f t="shared" si="5"/>
        <v>5</v>
      </c>
      <c r="B98" s="41"/>
      <c r="C98" s="2"/>
      <c r="D98" s="12"/>
      <c r="E98" s="21"/>
      <c r="F98" s="6"/>
    </row>
    <row r="99" spans="1:6" x14ac:dyDescent="0.3">
      <c r="A99" s="23">
        <f t="shared" si="5"/>
        <v>6</v>
      </c>
      <c r="B99" s="41" t="s">
        <v>57</v>
      </c>
      <c r="C99" s="2" t="s">
        <v>58</v>
      </c>
      <c r="D99" s="12"/>
      <c r="E99" s="6"/>
      <c r="F99" s="6"/>
    </row>
    <row r="100" spans="1:6" x14ac:dyDescent="0.3">
      <c r="A100" s="23">
        <f t="shared" si="5"/>
        <v>7</v>
      </c>
      <c r="B100" s="41"/>
      <c r="C100" s="2" t="s">
        <v>8</v>
      </c>
      <c r="D100" s="12">
        <f>SUM(772895-325396.18)</f>
        <v>447498.82</v>
      </c>
      <c r="E100" s="6"/>
      <c r="F100" s="6"/>
    </row>
    <row r="101" spans="1:6" x14ac:dyDescent="0.3">
      <c r="A101" s="23">
        <f t="shared" si="5"/>
        <v>8</v>
      </c>
      <c r="B101" s="41"/>
      <c r="C101" s="2" t="s">
        <v>9</v>
      </c>
      <c r="D101" s="12">
        <f>SUM(330716-142654.9)</f>
        <v>188061.1</v>
      </c>
      <c r="E101" s="6"/>
      <c r="F101" s="6"/>
    </row>
    <row r="102" spans="1:6" x14ac:dyDescent="0.3">
      <c r="A102" s="23">
        <f t="shared" si="5"/>
        <v>9</v>
      </c>
      <c r="B102" s="41"/>
      <c r="C102" s="9" t="s">
        <v>23</v>
      </c>
      <c r="D102" s="12">
        <f>SUM(229783.55+16175)</f>
        <v>245958.55</v>
      </c>
      <c r="E102" s="6"/>
      <c r="F102" s="6"/>
    </row>
    <row r="103" spans="1:6" x14ac:dyDescent="0.3">
      <c r="A103" s="23">
        <f t="shared" si="5"/>
        <v>10</v>
      </c>
      <c r="B103" s="41"/>
      <c r="C103" s="9" t="s">
        <v>24</v>
      </c>
      <c r="D103" s="12">
        <f>SUM(105672.12+4247.55)</f>
        <v>109919.67</v>
      </c>
      <c r="E103" s="6"/>
      <c r="F103" s="6"/>
    </row>
    <row r="104" spans="1:6" x14ac:dyDescent="0.3">
      <c r="A104" s="23">
        <f t="shared" si="5"/>
        <v>11</v>
      </c>
      <c r="B104" s="41"/>
      <c r="C104" s="2" t="s">
        <v>10</v>
      </c>
      <c r="D104" s="12">
        <v>32500</v>
      </c>
      <c r="E104" s="6"/>
      <c r="F104" s="6"/>
    </row>
    <row r="105" spans="1:6" x14ac:dyDescent="0.3">
      <c r="A105" s="23">
        <f t="shared" si="5"/>
        <v>12</v>
      </c>
      <c r="B105" s="41"/>
      <c r="C105" s="2" t="s">
        <v>11</v>
      </c>
      <c r="D105" s="12">
        <v>226453</v>
      </c>
      <c r="E105" s="6"/>
      <c r="F105" s="6"/>
    </row>
    <row r="106" spans="1:6" x14ac:dyDescent="0.3">
      <c r="A106" s="23">
        <f t="shared" si="5"/>
        <v>13</v>
      </c>
      <c r="B106" s="41"/>
      <c r="C106" s="2" t="s">
        <v>12</v>
      </c>
      <c r="D106" s="12">
        <v>13000</v>
      </c>
      <c r="E106" s="6"/>
      <c r="F106" s="6"/>
    </row>
    <row r="107" spans="1:6" x14ac:dyDescent="0.3">
      <c r="A107" s="23">
        <f t="shared" si="5"/>
        <v>14</v>
      </c>
      <c r="B107" s="41"/>
      <c r="C107" s="34" t="s">
        <v>59</v>
      </c>
      <c r="D107" s="36">
        <f>SUM(D100:D106)</f>
        <v>1263391.1400000001</v>
      </c>
      <c r="E107" s="6"/>
      <c r="F107" s="6"/>
    </row>
    <row r="108" spans="1:6" x14ac:dyDescent="0.3">
      <c r="A108" s="23">
        <f t="shared" si="5"/>
        <v>15</v>
      </c>
      <c r="B108" s="41"/>
      <c r="C108" s="2"/>
      <c r="D108" s="11"/>
      <c r="E108" s="6"/>
      <c r="F108" s="6"/>
    </row>
    <row r="109" spans="1:6" x14ac:dyDescent="0.3">
      <c r="A109" s="23">
        <f t="shared" si="5"/>
        <v>16</v>
      </c>
      <c r="B109" s="41" t="s">
        <v>60</v>
      </c>
      <c r="C109" s="2" t="s">
        <v>61</v>
      </c>
      <c r="D109" s="9"/>
      <c r="E109" s="6"/>
      <c r="F109" s="6"/>
    </row>
    <row r="110" spans="1:6" x14ac:dyDescent="0.3">
      <c r="A110" s="23">
        <f t="shared" si="5"/>
        <v>17</v>
      </c>
      <c r="B110" s="41"/>
      <c r="C110" s="2" t="s">
        <v>8</v>
      </c>
      <c r="D110" s="11">
        <f>SUM(3332958-358034.45)</f>
        <v>2974923.55</v>
      </c>
      <c r="E110" s="4">
        <v>3332958</v>
      </c>
      <c r="F110" s="6"/>
    </row>
    <row r="111" spans="1:6" x14ac:dyDescent="0.3">
      <c r="A111" s="23">
        <f t="shared" si="5"/>
        <v>18</v>
      </c>
      <c r="B111" s="41"/>
      <c r="C111" s="2" t="s">
        <v>9</v>
      </c>
      <c r="D111" s="12">
        <f>SUM(1537317-198580.86)</f>
        <v>1338736.1400000001</v>
      </c>
      <c r="E111" s="4">
        <v>1537317</v>
      </c>
      <c r="F111" s="6"/>
    </row>
    <row r="112" spans="1:6" x14ac:dyDescent="0.3">
      <c r="A112" s="23">
        <f t="shared" si="5"/>
        <v>19</v>
      </c>
      <c r="B112" s="41"/>
      <c r="C112" s="9" t="s">
        <v>23</v>
      </c>
      <c r="D112" s="12">
        <v>358034.45</v>
      </c>
      <c r="E112" s="4">
        <v>0</v>
      </c>
      <c r="F112" s="6"/>
    </row>
    <row r="113" spans="1:6" x14ac:dyDescent="0.3">
      <c r="A113" s="23">
        <f t="shared" ref="A113:A119" si="6">ROW(A21)</f>
        <v>21</v>
      </c>
      <c r="B113" s="41"/>
      <c r="C113" s="9" t="s">
        <v>24</v>
      </c>
      <c r="D113" s="12">
        <v>198580.86</v>
      </c>
      <c r="E113" s="4">
        <v>0</v>
      </c>
      <c r="F113" s="6"/>
    </row>
    <row r="114" spans="1:6" x14ac:dyDescent="0.3">
      <c r="A114" s="23">
        <f t="shared" si="6"/>
        <v>22</v>
      </c>
      <c r="B114" s="41"/>
      <c r="C114" s="2" t="s">
        <v>10</v>
      </c>
      <c r="D114" s="12">
        <v>79056</v>
      </c>
      <c r="E114" s="4">
        <v>89056</v>
      </c>
      <c r="F114" s="6"/>
    </row>
    <row r="115" spans="1:6" x14ac:dyDescent="0.3">
      <c r="A115" s="23">
        <f t="shared" si="6"/>
        <v>23</v>
      </c>
      <c r="B115" s="41"/>
      <c r="C115" s="2" t="s">
        <v>11</v>
      </c>
      <c r="D115" s="12">
        <f>SUM(341788-5000)</f>
        <v>336788</v>
      </c>
      <c r="E115" s="4">
        <f>SUM(581788-F119)</f>
        <v>331788</v>
      </c>
      <c r="F115" s="6"/>
    </row>
    <row r="116" spans="1:6" x14ac:dyDescent="0.3">
      <c r="A116" s="23">
        <f t="shared" si="6"/>
        <v>24</v>
      </c>
      <c r="B116" s="41"/>
      <c r="C116" s="2" t="s">
        <v>12</v>
      </c>
      <c r="D116" s="12">
        <v>404338</v>
      </c>
      <c r="E116" s="4">
        <v>404338</v>
      </c>
      <c r="F116" s="6"/>
    </row>
    <row r="117" spans="1:6" x14ac:dyDescent="0.3">
      <c r="A117" s="23">
        <f t="shared" si="6"/>
        <v>25</v>
      </c>
      <c r="B117" s="41"/>
      <c r="C117" s="35" t="s">
        <v>62</v>
      </c>
      <c r="D117" s="36">
        <f>SUM(D110:D116)</f>
        <v>5690457</v>
      </c>
      <c r="E117" s="4">
        <f>SUM(E110:E116)</f>
        <v>5695457</v>
      </c>
      <c r="F117" s="6"/>
    </row>
    <row r="118" spans="1:6" x14ac:dyDescent="0.3">
      <c r="A118" s="23">
        <f t="shared" si="6"/>
        <v>26</v>
      </c>
      <c r="B118" s="41"/>
      <c r="C118" s="2" t="s">
        <v>63</v>
      </c>
      <c r="D118" s="12">
        <v>75000</v>
      </c>
      <c r="E118" s="4">
        <v>75000</v>
      </c>
      <c r="F118" s="6"/>
    </row>
    <row r="119" spans="1:6" x14ac:dyDescent="0.3">
      <c r="A119" s="23">
        <f t="shared" si="6"/>
        <v>27</v>
      </c>
      <c r="B119" s="41"/>
      <c r="C119" s="2" t="s">
        <v>64</v>
      </c>
      <c r="D119" s="12">
        <v>175000</v>
      </c>
      <c r="E119" s="4">
        <v>175000</v>
      </c>
      <c r="F119" s="28">
        <f>SUM(E118:E119)</f>
        <v>250000</v>
      </c>
    </row>
    <row r="120" spans="1:6" x14ac:dyDescent="0.3">
      <c r="A120" s="23">
        <f t="shared" ref="A120:A140" si="7">ROW(A28)</f>
        <v>28</v>
      </c>
      <c r="B120" s="41"/>
      <c r="C120" s="34" t="s">
        <v>65</v>
      </c>
      <c r="D120" s="36">
        <f>SUM(D117,D118:D119)</f>
        <v>5940457</v>
      </c>
      <c r="E120" s="28">
        <f>SUM(E117,E118:E119)</f>
        <v>5945457</v>
      </c>
      <c r="F120" s="6"/>
    </row>
    <row r="121" spans="1:6" x14ac:dyDescent="0.3">
      <c r="A121" s="23">
        <f t="shared" si="7"/>
        <v>29</v>
      </c>
      <c r="B121" s="41" t="s">
        <v>0</v>
      </c>
      <c r="C121" s="9"/>
      <c r="D121" s="12"/>
      <c r="E121" s="6"/>
      <c r="F121" s="6"/>
    </row>
    <row r="122" spans="1:6" x14ac:dyDescent="0.3">
      <c r="A122" s="23">
        <f t="shared" si="7"/>
        <v>30</v>
      </c>
      <c r="B122" s="41" t="s">
        <v>66</v>
      </c>
      <c r="C122" s="2" t="s">
        <v>67</v>
      </c>
      <c r="D122" s="12"/>
      <c r="E122" s="6"/>
      <c r="F122" s="6"/>
    </row>
    <row r="123" spans="1:6" x14ac:dyDescent="0.3">
      <c r="A123" s="23">
        <f t="shared" si="7"/>
        <v>31</v>
      </c>
      <c r="B123" s="41"/>
      <c r="C123" s="2" t="s">
        <v>8</v>
      </c>
      <c r="D123" s="12">
        <f>SUM(20740374)</f>
        <v>20740374</v>
      </c>
      <c r="E123" s="46">
        <v>20740374</v>
      </c>
      <c r="F123" s="6"/>
    </row>
    <row r="124" spans="1:6" x14ac:dyDescent="0.3">
      <c r="A124" s="23">
        <f t="shared" si="7"/>
        <v>32</v>
      </c>
      <c r="B124" s="41"/>
      <c r="C124" s="2" t="s">
        <v>9</v>
      </c>
      <c r="D124" s="12">
        <f>SUM(9411314)</f>
        <v>9411314</v>
      </c>
      <c r="E124" s="46">
        <v>9411314</v>
      </c>
      <c r="F124" s="6"/>
    </row>
    <row r="125" spans="1:6" x14ac:dyDescent="0.3">
      <c r="A125" s="23">
        <f t="shared" si="7"/>
        <v>33</v>
      </c>
      <c r="B125" s="41"/>
      <c r="C125" s="2" t="s">
        <v>68</v>
      </c>
      <c r="D125" s="12">
        <v>172795.24</v>
      </c>
      <c r="E125" s="46"/>
      <c r="F125" s="6"/>
    </row>
    <row r="126" spans="1:6" x14ac:dyDescent="0.3">
      <c r="A126" s="23">
        <f t="shared" si="7"/>
        <v>34</v>
      </c>
      <c r="B126" s="41"/>
      <c r="C126" s="2" t="s">
        <v>11</v>
      </c>
      <c r="D126" s="12">
        <v>182681</v>
      </c>
      <c r="E126" s="46">
        <f>SUM(215681-E129)</f>
        <v>165681</v>
      </c>
      <c r="F126" s="6"/>
    </row>
    <row r="127" spans="1:6" x14ac:dyDescent="0.3">
      <c r="A127" s="23">
        <f t="shared" si="7"/>
        <v>35</v>
      </c>
      <c r="B127" s="41"/>
      <c r="C127" s="2" t="s">
        <v>12</v>
      </c>
      <c r="D127" s="12">
        <v>500886</v>
      </c>
      <c r="E127" s="46">
        <v>500886</v>
      </c>
      <c r="F127" s="6"/>
    </row>
    <row r="128" spans="1:6" x14ac:dyDescent="0.3">
      <c r="A128" s="23">
        <f t="shared" si="7"/>
        <v>36</v>
      </c>
      <c r="B128" s="41"/>
      <c r="C128" s="35" t="s">
        <v>69</v>
      </c>
      <c r="D128" s="36">
        <f>SUM(D123:D127)</f>
        <v>31008050.239999998</v>
      </c>
      <c r="E128" s="46">
        <f>SUM(E123:E127)</f>
        <v>30818255</v>
      </c>
      <c r="F128" s="6"/>
    </row>
    <row r="129" spans="1:6" x14ac:dyDescent="0.3">
      <c r="A129" s="23">
        <f t="shared" si="7"/>
        <v>37</v>
      </c>
      <c r="B129" s="41"/>
      <c r="C129" s="2" t="s">
        <v>70</v>
      </c>
      <c r="D129" s="12">
        <v>50000</v>
      </c>
      <c r="E129" s="46">
        <v>50000</v>
      </c>
      <c r="F129" s="6"/>
    </row>
    <row r="130" spans="1:6" x14ac:dyDescent="0.3">
      <c r="A130" s="23">
        <f t="shared" si="7"/>
        <v>38</v>
      </c>
      <c r="B130" s="41"/>
      <c r="C130" s="34" t="s">
        <v>71</v>
      </c>
      <c r="D130" s="36">
        <f>SUM(D128,D129:D129)</f>
        <v>31058050.239999998</v>
      </c>
      <c r="E130" s="46">
        <f>SUM(E128,E129:E129)</f>
        <v>30868255</v>
      </c>
      <c r="F130" s="6"/>
    </row>
    <row r="131" spans="1:6" x14ac:dyDescent="0.3">
      <c r="A131" s="23">
        <f t="shared" si="7"/>
        <v>39</v>
      </c>
      <c r="B131" s="41" t="s">
        <v>0</v>
      </c>
      <c r="C131" s="9"/>
      <c r="D131" s="12"/>
      <c r="E131" s="6"/>
      <c r="F131" s="6"/>
    </row>
    <row r="132" spans="1:6" x14ac:dyDescent="0.3">
      <c r="A132" s="23">
        <f t="shared" si="7"/>
        <v>40</v>
      </c>
      <c r="B132" s="41" t="s">
        <v>72</v>
      </c>
      <c r="C132" s="2" t="s">
        <v>73</v>
      </c>
      <c r="D132" s="12"/>
      <c r="E132" s="6"/>
      <c r="F132" s="6"/>
    </row>
    <row r="133" spans="1:6" x14ac:dyDescent="0.3">
      <c r="A133" s="23">
        <f t="shared" si="7"/>
        <v>41</v>
      </c>
      <c r="B133" s="41"/>
      <c r="C133" s="2" t="s">
        <v>8</v>
      </c>
      <c r="D133" s="12">
        <f>SUM(1950480-173635.07)</f>
        <v>1776844.93</v>
      </c>
      <c r="E133" s="46">
        <v>1950480</v>
      </c>
      <c r="F133" s="6"/>
    </row>
    <row r="134" spans="1:6" x14ac:dyDescent="0.3">
      <c r="A134" s="23">
        <f t="shared" si="7"/>
        <v>42</v>
      </c>
      <c r="B134" s="41"/>
      <c r="C134" s="2" t="s">
        <v>9</v>
      </c>
      <c r="D134" s="12">
        <f>SUM(827907-73435.17)</f>
        <v>754471.83</v>
      </c>
      <c r="E134" s="46">
        <v>827907</v>
      </c>
      <c r="F134" s="6"/>
    </row>
    <row r="135" spans="1:6" x14ac:dyDescent="0.3">
      <c r="A135" s="23">
        <f t="shared" si="7"/>
        <v>43</v>
      </c>
      <c r="B135" s="41"/>
      <c r="C135" s="9" t="s">
        <v>23</v>
      </c>
      <c r="D135" s="12">
        <v>173635.07</v>
      </c>
      <c r="E135" s="4">
        <v>0</v>
      </c>
      <c r="F135" s="6"/>
    </row>
    <row r="136" spans="1:6" x14ac:dyDescent="0.3">
      <c r="A136" s="23">
        <f t="shared" si="7"/>
        <v>44</v>
      </c>
      <c r="B136" s="41"/>
      <c r="C136" s="9" t="s">
        <v>24</v>
      </c>
      <c r="D136" s="12">
        <v>73435.17</v>
      </c>
      <c r="E136" s="4">
        <v>0</v>
      </c>
      <c r="F136" s="6"/>
    </row>
    <row r="137" spans="1:6" x14ac:dyDescent="0.3">
      <c r="A137" s="23">
        <f t="shared" si="7"/>
        <v>45</v>
      </c>
      <c r="B137" s="41"/>
      <c r="C137" s="2" t="s">
        <v>10</v>
      </c>
      <c r="D137" s="12">
        <v>122000</v>
      </c>
      <c r="E137" s="46">
        <f>SUM(3324915-E142)</f>
        <v>122000</v>
      </c>
      <c r="F137" s="6"/>
    </row>
    <row r="138" spans="1:6" x14ac:dyDescent="0.3">
      <c r="A138" s="23">
        <f t="shared" si="7"/>
        <v>46</v>
      </c>
      <c r="B138" s="41"/>
      <c r="C138" s="2" t="s">
        <v>11</v>
      </c>
      <c r="D138" s="12">
        <v>1277660</v>
      </c>
      <c r="E138" s="46">
        <f>SUM(5446318-(D141+D143))</f>
        <v>1277660</v>
      </c>
      <c r="F138" s="6"/>
    </row>
    <row r="139" spans="1:6" x14ac:dyDescent="0.3">
      <c r="A139" s="23">
        <f t="shared" si="7"/>
        <v>47</v>
      </c>
      <c r="B139" s="41"/>
      <c r="C139" s="2" t="s">
        <v>12</v>
      </c>
      <c r="D139" s="12">
        <v>250000</v>
      </c>
      <c r="E139" s="46">
        <v>250000</v>
      </c>
      <c r="F139" s="6"/>
    </row>
    <row r="140" spans="1:6" x14ac:dyDescent="0.3">
      <c r="A140" s="23">
        <f t="shared" si="7"/>
        <v>48</v>
      </c>
      <c r="B140" s="41"/>
      <c r="C140" s="34" t="s">
        <v>74</v>
      </c>
      <c r="D140" s="36">
        <f>SUM(D133:D139)</f>
        <v>4428047</v>
      </c>
      <c r="E140" s="46">
        <f>SUM(E133:E139)</f>
        <v>4428047</v>
      </c>
      <c r="F140" s="6"/>
    </row>
    <row r="141" spans="1:6" x14ac:dyDescent="0.3">
      <c r="A141" s="23">
        <f t="shared" ref="A141:A159" si="8">ROW(A1)</f>
        <v>1</v>
      </c>
      <c r="B141" s="41"/>
      <c r="C141" s="2" t="s">
        <v>75</v>
      </c>
      <c r="D141" s="12">
        <v>3206206</v>
      </c>
      <c r="E141" s="46">
        <v>3206206</v>
      </c>
      <c r="F141" s="6"/>
    </row>
    <row r="142" spans="1:6" x14ac:dyDescent="0.3">
      <c r="A142" s="23">
        <f t="shared" si="8"/>
        <v>2</v>
      </c>
      <c r="B142" s="41"/>
      <c r="C142" s="2" t="s">
        <v>76</v>
      </c>
      <c r="D142" s="12">
        <v>3202915</v>
      </c>
      <c r="E142" s="46">
        <v>3202915</v>
      </c>
      <c r="F142" s="6"/>
    </row>
    <row r="143" spans="1:6" x14ac:dyDescent="0.3">
      <c r="A143" s="23">
        <f t="shared" si="8"/>
        <v>3</v>
      </c>
      <c r="B143" s="41"/>
      <c r="C143" s="2" t="s">
        <v>77</v>
      </c>
      <c r="D143" s="12">
        <v>962452</v>
      </c>
      <c r="E143" s="46">
        <v>962452</v>
      </c>
      <c r="F143" s="47">
        <f>SUM(E141:E143)</f>
        <v>7371573</v>
      </c>
    </row>
    <row r="144" spans="1:6" x14ac:dyDescent="0.3">
      <c r="A144" s="23">
        <f t="shared" si="8"/>
        <v>4</v>
      </c>
      <c r="B144" s="41"/>
      <c r="C144" s="34" t="s">
        <v>78</v>
      </c>
      <c r="D144" s="36">
        <f>SUM(D140,D141:D143)</f>
        <v>11799620</v>
      </c>
      <c r="E144" s="46">
        <f>SUM(E140,E141:E143)</f>
        <v>11799620</v>
      </c>
      <c r="F144" s="6"/>
    </row>
    <row r="145" spans="1:6" x14ac:dyDescent="0.3">
      <c r="A145" s="23">
        <f t="shared" si="8"/>
        <v>5</v>
      </c>
      <c r="B145" s="41" t="s">
        <v>0</v>
      </c>
      <c r="C145" s="9"/>
      <c r="D145" s="12"/>
      <c r="E145" s="6"/>
      <c r="F145" s="6"/>
    </row>
    <row r="146" spans="1:6" x14ac:dyDescent="0.3">
      <c r="A146" s="23">
        <f t="shared" si="8"/>
        <v>6</v>
      </c>
      <c r="B146" s="41" t="s">
        <v>79</v>
      </c>
      <c r="C146" s="2" t="s">
        <v>80</v>
      </c>
      <c r="D146" s="12"/>
      <c r="E146" s="6"/>
      <c r="F146" s="6"/>
    </row>
    <row r="147" spans="1:6" x14ac:dyDescent="0.3">
      <c r="A147" s="23">
        <f t="shared" si="8"/>
        <v>7</v>
      </c>
      <c r="B147" s="41"/>
      <c r="C147" s="2" t="s">
        <v>8</v>
      </c>
      <c r="D147" s="12">
        <v>873489</v>
      </c>
      <c r="E147" s="6"/>
      <c r="F147" s="6"/>
    </row>
    <row r="148" spans="1:6" x14ac:dyDescent="0.3">
      <c r="A148" s="23">
        <f t="shared" si="8"/>
        <v>8</v>
      </c>
      <c r="B148" s="41"/>
      <c r="C148" s="2" t="s">
        <v>9</v>
      </c>
      <c r="D148" s="12">
        <v>391105</v>
      </c>
      <c r="E148" s="6"/>
      <c r="F148" s="6"/>
    </row>
    <row r="149" spans="1:6" x14ac:dyDescent="0.3">
      <c r="A149" s="23">
        <f t="shared" si="8"/>
        <v>9</v>
      </c>
      <c r="B149" s="41"/>
      <c r="C149" s="2" t="s">
        <v>10</v>
      </c>
      <c r="D149" s="12">
        <v>25300</v>
      </c>
      <c r="E149" s="6"/>
      <c r="F149" s="6"/>
    </row>
    <row r="150" spans="1:6" x14ac:dyDescent="0.3">
      <c r="A150" s="23">
        <f t="shared" si="8"/>
        <v>10</v>
      </c>
      <c r="B150" s="41"/>
      <c r="C150" s="2" t="s">
        <v>11</v>
      </c>
      <c r="D150" s="12">
        <v>252375</v>
      </c>
      <c r="E150" s="6"/>
      <c r="F150" s="6"/>
    </row>
    <row r="151" spans="1:6" x14ac:dyDescent="0.3">
      <c r="A151" s="23">
        <f t="shared" si="8"/>
        <v>11</v>
      </c>
      <c r="B151" s="41"/>
      <c r="C151" s="2" t="s">
        <v>12</v>
      </c>
      <c r="D151" s="12">
        <v>14000</v>
      </c>
      <c r="E151" s="6"/>
      <c r="F151" s="6"/>
    </row>
    <row r="152" spans="1:6" s="32" customFormat="1" x14ac:dyDescent="0.3">
      <c r="A152" s="23">
        <f t="shared" si="8"/>
        <v>12</v>
      </c>
      <c r="B152" s="41"/>
      <c r="C152" s="34" t="s">
        <v>81</v>
      </c>
      <c r="D152" s="36">
        <f>SUM(D147:D151)</f>
        <v>1556269</v>
      </c>
      <c r="E152" s="31"/>
      <c r="F152" s="31"/>
    </row>
    <row r="153" spans="1:6" x14ac:dyDescent="0.3">
      <c r="A153" s="23">
        <f t="shared" si="8"/>
        <v>13</v>
      </c>
      <c r="B153" s="9"/>
      <c r="C153" s="9"/>
      <c r="D153" s="12"/>
      <c r="E153" s="6"/>
      <c r="F153" s="6"/>
    </row>
    <row r="154" spans="1:6" x14ac:dyDescent="0.3">
      <c r="A154" s="23">
        <f t="shared" si="8"/>
        <v>14</v>
      </c>
      <c r="B154" s="41" t="s">
        <v>82</v>
      </c>
      <c r="C154" s="2" t="s">
        <v>83</v>
      </c>
      <c r="D154" s="12"/>
      <c r="E154" s="6"/>
      <c r="F154" s="6"/>
    </row>
    <row r="155" spans="1:6" x14ac:dyDescent="0.3">
      <c r="A155" s="23">
        <f t="shared" si="8"/>
        <v>15</v>
      </c>
      <c r="B155" s="41"/>
      <c r="C155" s="2" t="s">
        <v>8</v>
      </c>
      <c r="D155" s="12">
        <f>SUM(1131281-394655.04)</f>
        <v>736625.96</v>
      </c>
      <c r="E155" s="46">
        <v>1131281</v>
      </c>
      <c r="F155" s="6"/>
    </row>
    <row r="156" spans="1:6" x14ac:dyDescent="0.3">
      <c r="A156" s="23">
        <f t="shared" si="8"/>
        <v>16</v>
      </c>
      <c r="B156" s="41"/>
      <c r="C156" s="2" t="s">
        <v>9</v>
      </c>
      <c r="D156" s="12">
        <f>SUM(501492-256228.16)</f>
        <v>245263.84</v>
      </c>
      <c r="E156" s="46">
        <v>501492</v>
      </c>
      <c r="F156" s="6"/>
    </row>
    <row r="157" spans="1:6" x14ac:dyDescent="0.3">
      <c r="A157" s="23">
        <f t="shared" si="8"/>
        <v>17</v>
      </c>
      <c r="B157" s="41"/>
      <c r="C157" s="9" t="s">
        <v>23</v>
      </c>
      <c r="D157" s="12">
        <v>394655.04</v>
      </c>
      <c r="E157" s="46">
        <v>0</v>
      </c>
      <c r="F157" s="6"/>
    </row>
    <row r="158" spans="1:6" x14ac:dyDescent="0.3">
      <c r="A158" s="23">
        <f t="shared" si="8"/>
        <v>18</v>
      </c>
      <c r="B158" s="41"/>
      <c r="C158" s="9" t="s">
        <v>24</v>
      </c>
      <c r="D158" s="12">
        <v>256228.16</v>
      </c>
      <c r="E158" s="46">
        <v>0</v>
      </c>
      <c r="F158" s="6"/>
    </row>
    <row r="159" spans="1:6" x14ac:dyDescent="0.3">
      <c r="A159" s="23">
        <f t="shared" si="8"/>
        <v>19</v>
      </c>
      <c r="B159" s="41"/>
      <c r="C159" s="2" t="s">
        <v>10</v>
      </c>
      <c r="D159" s="12">
        <v>141160</v>
      </c>
      <c r="E159" s="46">
        <v>141160</v>
      </c>
      <c r="F159" s="6"/>
    </row>
    <row r="160" spans="1:6" x14ac:dyDescent="0.3">
      <c r="A160" s="23">
        <f t="shared" ref="A160:A166" si="9">ROW(A21)</f>
        <v>21</v>
      </c>
      <c r="B160" s="41"/>
      <c r="C160" s="2" t="s">
        <v>11</v>
      </c>
      <c r="D160" s="12">
        <f>SUM(319786)</f>
        <v>319786</v>
      </c>
      <c r="E160" s="46">
        <f>SUM(615338-E165-85000-65552)</f>
        <v>319786</v>
      </c>
      <c r="F160" s="6"/>
    </row>
    <row r="161" spans="1:8" x14ac:dyDescent="0.3">
      <c r="A161" s="23">
        <f t="shared" si="9"/>
        <v>22</v>
      </c>
      <c r="B161" s="41"/>
      <c r="C161" s="2" t="s">
        <v>12</v>
      </c>
      <c r="D161" s="12">
        <v>322023</v>
      </c>
      <c r="E161" s="46">
        <v>322023</v>
      </c>
      <c r="F161" s="6"/>
    </row>
    <row r="162" spans="1:8" x14ac:dyDescent="0.3">
      <c r="A162" s="23">
        <f t="shared" si="9"/>
        <v>23</v>
      </c>
      <c r="B162" s="41"/>
      <c r="C162" s="2" t="s">
        <v>13</v>
      </c>
      <c r="D162" s="12">
        <v>199812</v>
      </c>
      <c r="E162" s="46">
        <f>SUM(220180-20368)</f>
        <v>199812</v>
      </c>
      <c r="F162" s="6"/>
    </row>
    <row r="163" spans="1:8" x14ac:dyDescent="0.3">
      <c r="A163" s="23">
        <f t="shared" si="9"/>
        <v>24</v>
      </c>
      <c r="B163" s="41"/>
      <c r="C163" s="34" t="s">
        <v>84</v>
      </c>
      <c r="D163" s="36">
        <f>SUM(D155:D162)</f>
        <v>2615554</v>
      </c>
      <c r="E163" s="46">
        <f>SUM(E155:E162)</f>
        <v>2615554</v>
      </c>
      <c r="F163" s="6"/>
    </row>
    <row r="164" spans="1:8" x14ac:dyDescent="0.3">
      <c r="A164" s="23">
        <f t="shared" si="9"/>
        <v>25</v>
      </c>
      <c r="B164" s="41"/>
      <c r="C164" s="2" t="s">
        <v>85</v>
      </c>
      <c r="D164" s="12">
        <v>170920</v>
      </c>
      <c r="E164" s="46">
        <v>170920</v>
      </c>
      <c r="F164" s="6"/>
    </row>
    <row r="165" spans="1:8" x14ac:dyDescent="0.3">
      <c r="A165" s="23">
        <f t="shared" si="9"/>
        <v>26</v>
      </c>
      <c r="B165" s="41"/>
      <c r="C165" s="2" t="s">
        <v>86</v>
      </c>
      <c r="D165" s="12">
        <v>145000</v>
      </c>
      <c r="E165" s="46">
        <v>145000</v>
      </c>
      <c r="F165" s="6"/>
    </row>
    <row r="166" spans="1:8" x14ac:dyDescent="0.3">
      <c r="A166" s="23">
        <f t="shared" si="9"/>
        <v>27</v>
      </c>
      <c r="B166" s="41"/>
      <c r="C166" s="34" t="s">
        <v>87</v>
      </c>
      <c r="D166" s="36">
        <f>SUM(D163,D164:D165)</f>
        <v>2931474</v>
      </c>
      <c r="E166" s="46">
        <f>SUM(E163,E164:E165)</f>
        <v>2931474</v>
      </c>
      <c r="F166" s="47">
        <f>SUM(E164:E165)</f>
        <v>315920</v>
      </c>
    </row>
    <row r="167" spans="1:8" x14ac:dyDescent="0.3">
      <c r="A167" s="23">
        <f t="shared" ref="A167:A187" si="10">ROW(A28)</f>
        <v>28</v>
      </c>
      <c r="B167" s="41"/>
      <c r="C167" s="9"/>
      <c r="D167" s="12"/>
      <c r="E167" s="6"/>
      <c r="F167" s="6"/>
    </row>
    <row r="168" spans="1:8" x14ac:dyDescent="0.3">
      <c r="A168" s="23">
        <f t="shared" si="10"/>
        <v>29</v>
      </c>
      <c r="B168" s="41" t="s">
        <v>88</v>
      </c>
      <c r="C168" s="2" t="s">
        <v>89</v>
      </c>
      <c r="D168" s="12"/>
      <c r="E168" s="6"/>
      <c r="F168" s="6"/>
    </row>
    <row r="169" spans="1:8" x14ac:dyDescent="0.3">
      <c r="A169" s="23">
        <f t="shared" si="10"/>
        <v>30</v>
      </c>
      <c r="B169" s="41"/>
      <c r="C169" s="2" t="s">
        <v>8</v>
      </c>
      <c r="D169" s="12">
        <f>SUM(312783+28187)</f>
        <v>340970</v>
      </c>
      <c r="E169" s="46">
        <v>340970</v>
      </c>
      <c r="F169" s="6"/>
    </row>
    <row r="170" spans="1:8" x14ac:dyDescent="0.3">
      <c r="A170" s="23">
        <f t="shared" si="10"/>
        <v>31</v>
      </c>
      <c r="B170" s="41"/>
      <c r="C170" s="2" t="s">
        <v>9</v>
      </c>
      <c r="D170" s="12">
        <v>158803</v>
      </c>
      <c r="E170" s="46">
        <v>158803</v>
      </c>
      <c r="F170" s="6"/>
    </row>
    <row r="171" spans="1:8" x14ac:dyDescent="0.3">
      <c r="A171" s="23">
        <f t="shared" si="10"/>
        <v>32</v>
      </c>
      <c r="B171" s="41"/>
      <c r="C171" s="2" t="s">
        <v>10</v>
      </c>
      <c r="D171" s="12">
        <v>62777</v>
      </c>
      <c r="E171" s="46">
        <v>62777</v>
      </c>
      <c r="F171" s="6"/>
    </row>
    <row r="172" spans="1:8" x14ac:dyDescent="0.3">
      <c r="A172" s="23">
        <f t="shared" si="10"/>
        <v>33</v>
      </c>
      <c r="B172" s="41"/>
      <c r="C172" s="2" t="s">
        <v>11</v>
      </c>
      <c r="D172" s="12">
        <v>191819</v>
      </c>
      <c r="E172" s="46" t="e">
        <f>SUM(641819-#REF!)</f>
        <v>#REF!</v>
      </c>
      <c r="F172" s="6"/>
      <c r="H172" s="5" t="s">
        <v>90</v>
      </c>
    </row>
    <row r="173" spans="1:8" x14ac:dyDescent="0.3">
      <c r="A173" s="23">
        <f t="shared" si="10"/>
        <v>34</v>
      </c>
      <c r="B173" s="41"/>
      <c r="C173" s="2" t="s">
        <v>12</v>
      </c>
      <c r="D173" s="12">
        <v>15000</v>
      </c>
      <c r="E173" s="46">
        <v>15000</v>
      </c>
      <c r="F173" s="6"/>
    </row>
    <row r="174" spans="1:8" x14ac:dyDescent="0.3">
      <c r="A174" s="23">
        <f t="shared" si="10"/>
        <v>35</v>
      </c>
      <c r="B174" s="41"/>
      <c r="C174" s="34" t="s">
        <v>91</v>
      </c>
      <c r="D174" s="36">
        <f>SUM(D169:D173)</f>
        <v>769369</v>
      </c>
      <c r="E174" s="46" t="e">
        <f>SUM(#REF!,#REF!)</f>
        <v>#REF!</v>
      </c>
      <c r="F174" s="6"/>
    </row>
    <row r="175" spans="1:8" x14ac:dyDescent="0.25">
      <c r="A175" s="23">
        <f t="shared" si="10"/>
        <v>36</v>
      </c>
      <c r="B175" s="41"/>
      <c r="C175" s="53" t="s">
        <v>92</v>
      </c>
      <c r="D175" s="54">
        <v>450000</v>
      </c>
      <c r="E175" s="46"/>
      <c r="F175" s="6"/>
    </row>
    <row r="176" spans="1:8" x14ac:dyDescent="0.3">
      <c r="A176" s="23">
        <f t="shared" si="10"/>
        <v>37</v>
      </c>
      <c r="B176" s="41"/>
      <c r="C176" s="34" t="s">
        <v>93</v>
      </c>
      <c r="D176" s="36">
        <f>SUM(D174:D175)</f>
        <v>1219369</v>
      </c>
      <c r="E176" s="46"/>
      <c r="F176" s="6"/>
    </row>
    <row r="177" spans="1:6" x14ac:dyDescent="0.3">
      <c r="A177" s="23">
        <f t="shared" si="10"/>
        <v>38</v>
      </c>
      <c r="B177" s="41"/>
      <c r="C177" s="14"/>
      <c r="D177" s="12"/>
      <c r="E177" s="6"/>
      <c r="F177" s="6"/>
    </row>
    <row r="178" spans="1:6" x14ac:dyDescent="0.3">
      <c r="A178" s="23">
        <f t="shared" si="10"/>
        <v>39</v>
      </c>
      <c r="B178" s="41" t="s">
        <v>94</v>
      </c>
      <c r="C178" s="2" t="s">
        <v>95</v>
      </c>
      <c r="D178" s="12"/>
      <c r="E178" s="6"/>
      <c r="F178" s="6"/>
    </row>
    <row r="179" spans="1:6" x14ac:dyDescent="0.3">
      <c r="A179" s="23">
        <f t="shared" si="10"/>
        <v>40</v>
      </c>
      <c r="B179" s="41"/>
      <c r="C179" s="2" t="s">
        <v>8</v>
      </c>
      <c r="D179" s="12">
        <f>SUM(4767071-265861.8)</f>
        <v>4501209.2</v>
      </c>
      <c r="E179" s="6"/>
      <c r="F179" s="6"/>
    </row>
    <row r="180" spans="1:6" x14ac:dyDescent="0.3">
      <c r="A180" s="23">
        <f t="shared" si="10"/>
        <v>41</v>
      </c>
      <c r="B180" s="41"/>
      <c r="C180" s="2" t="s">
        <v>9</v>
      </c>
      <c r="D180" s="12">
        <f>SUM(2420175-138249.1)</f>
        <v>2281925.9</v>
      </c>
      <c r="E180" s="6"/>
      <c r="F180" s="6"/>
    </row>
    <row r="181" spans="1:6" x14ac:dyDescent="0.3">
      <c r="A181" s="23">
        <f t="shared" si="10"/>
        <v>42</v>
      </c>
      <c r="B181" s="41"/>
      <c r="C181" s="9" t="s">
        <v>23</v>
      </c>
      <c r="D181" s="12">
        <v>265861.8</v>
      </c>
      <c r="E181" s="6"/>
      <c r="F181" s="6"/>
    </row>
    <row r="182" spans="1:6" x14ac:dyDescent="0.3">
      <c r="A182" s="23">
        <f t="shared" si="10"/>
        <v>43</v>
      </c>
      <c r="B182" s="41"/>
      <c r="C182" s="9" t="s">
        <v>24</v>
      </c>
      <c r="D182" s="12">
        <v>138249.1</v>
      </c>
      <c r="E182" s="6"/>
      <c r="F182" s="6"/>
    </row>
    <row r="183" spans="1:6" x14ac:dyDescent="0.3">
      <c r="A183" s="23">
        <f t="shared" si="10"/>
        <v>44</v>
      </c>
      <c r="B183" s="41"/>
      <c r="C183" s="34" t="s">
        <v>96</v>
      </c>
      <c r="D183" s="36">
        <f>SUM(D179:D182)</f>
        <v>7187245.9999999991</v>
      </c>
      <c r="E183" s="6"/>
      <c r="F183" s="6"/>
    </row>
    <row r="184" spans="1:6" x14ac:dyDescent="0.3">
      <c r="A184" s="23">
        <f t="shared" si="10"/>
        <v>45</v>
      </c>
      <c r="B184" s="41"/>
      <c r="C184" s="2"/>
      <c r="D184" s="12"/>
      <c r="E184" s="6"/>
      <c r="F184" s="6"/>
    </row>
    <row r="185" spans="1:6" x14ac:dyDescent="0.3">
      <c r="A185" s="23">
        <f t="shared" si="10"/>
        <v>46</v>
      </c>
      <c r="B185" s="41" t="s">
        <v>97</v>
      </c>
      <c r="C185" s="2" t="s">
        <v>98</v>
      </c>
      <c r="D185" s="12"/>
      <c r="E185" s="6"/>
      <c r="F185" s="6"/>
    </row>
    <row r="186" spans="1:6" x14ac:dyDescent="0.3">
      <c r="A186" s="23">
        <f t="shared" si="10"/>
        <v>47</v>
      </c>
      <c r="B186" s="41"/>
      <c r="C186" s="2" t="s">
        <v>8</v>
      </c>
      <c r="D186" s="12">
        <f>SUM(7062187)</f>
        <v>7062187</v>
      </c>
      <c r="E186" s="6"/>
      <c r="F186" s="6"/>
    </row>
    <row r="187" spans="1:6" x14ac:dyDescent="0.3">
      <c r="A187" s="23">
        <f t="shared" si="10"/>
        <v>48</v>
      </c>
      <c r="B187" s="41"/>
      <c r="C187" s="2" t="s">
        <v>9</v>
      </c>
      <c r="D187" s="12">
        <f>SUM(3621460)</f>
        <v>3621460</v>
      </c>
      <c r="E187" s="6"/>
      <c r="F187" s="6"/>
    </row>
    <row r="188" spans="1:6" x14ac:dyDescent="0.3">
      <c r="A188" s="23">
        <f t="shared" ref="A188:A206" si="11">ROW(A1)</f>
        <v>1</v>
      </c>
      <c r="B188" s="41"/>
      <c r="C188" s="2" t="s">
        <v>10</v>
      </c>
      <c r="D188" s="12">
        <v>224500</v>
      </c>
      <c r="E188" s="6"/>
      <c r="F188" s="6"/>
    </row>
    <row r="189" spans="1:6" x14ac:dyDescent="0.3">
      <c r="A189" s="23">
        <f t="shared" si="11"/>
        <v>2</v>
      </c>
      <c r="B189" s="41"/>
      <c r="C189" s="2" t="s">
        <v>11</v>
      </c>
      <c r="D189" s="12">
        <v>1906909</v>
      </c>
      <c r="E189" s="6"/>
      <c r="F189" s="6"/>
    </row>
    <row r="190" spans="1:6" x14ac:dyDescent="0.3">
      <c r="A190" s="23">
        <f t="shared" si="11"/>
        <v>3</v>
      </c>
      <c r="B190" s="41"/>
      <c r="C190" s="2" t="s">
        <v>12</v>
      </c>
      <c r="D190" s="12">
        <f>SUM(93601+300000)</f>
        <v>393601</v>
      </c>
      <c r="E190" s="6"/>
      <c r="F190" s="6"/>
    </row>
    <row r="191" spans="1:6" x14ac:dyDescent="0.3">
      <c r="A191" s="23">
        <f t="shared" si="11"/>
        <v>4</v>
      </c>
      <c r="B191" s="41"/>
      <c r="C191" s="2" t="s">
        <v>13</v>
      </c>
      <c r="D191" s="12">
        <v>50000</v>
      </c>
      <c r="E191" s="6"/>
      <c r="F191" s="6"/>
    </row>
    <row r="192" spans="1:6" s="32" customFormat="1" x14ac:dyDescent="0.3">
      <c r="A192" s="23">
        <f t="shared" si="11"/>
        <v>5</v>
      </c>
      <c r="B192" s="41"/>
      <c r="C192" s="34" t="s">
        <v>99</v>
      </c>
      <c r="D192" s="36">
        <f>SUM(D186:D191)</f>
        <v>13258657</v>
      </c>
      <c r="E192" s="31"/>
      <c r="F192" s="31"/>
    </row>
    <row r="193" spans="1:6" x14ac:dyDescent="0.3">
      <c r="A193" s="23">
        <f t="shared" si="11"/>
        <v>6</v>
      </c>
      <c r="B193" s="41"/>
      <c r="C193" s="14"/>
      <c r="D193" s="12"/>
      <c r="E193" s="6"/>
      <c r="F193" s="6"/>
    </row>
    <row r="194" spans="1:6" x14ac:dyDescent="0.3">
      <c r="A194" s="23">
        <f t="shared" si="11"/>
        <v>7</v>
      </c>
      <c r="B194" s="41" t="s">
        <v>100</v>
      </c>
      <c r="C194" s="2" t="s">
        <v>101</v>
      </c>
      <c r="D194" s="12"/>
      <c r="E194" s="6"/>
      <c r="F194" s="6"/>
    </row>
    <row r="195" spans="1:6" x14ac:dyDescent="0.3">
      <c r="A195" s="23">
        <f t="shared" si="11"/>
        <v>8</v>
      </c>
      <c r="B195" s="41"/>
      <c r="C195" s="2" t="s">
        <v>8</v>
      </c>
      <c r="D195" s="12">
        <v>2373062</v>
      </c>
      <c r="E195" s="6"/>
      <c r="F195" s="6"/>
    </row>
    <row r="196" spans="1:6" x14ac:dyDescent="0.3">
      <c r="A196" s="23">
        <f t="shared" si="11"/>
        <v>9</v>
      </c>
      <c r="B196" s="41"/>
      <c r="C196" s="2" t="s">
        <v>9</v>
      </c>
      <c r="D196" s="12">
        <v>1283848</v>
      </c>
      <c r="E196" s="6"/>
      <c r="F196" s="6"/>
    </row>
    <row r="197" spans="1:6" x14ac:dyDescent="0.3">
      <c r="A197" s="23">
        <f t="shared" si="11"/>
        <v>10</v>
      </c>
      <c r="B197" s="41"/>
      <c r="C197" s="34" t="s">
        <v>102</v>
      </c>
      <c r="D197" s="36">
        <f>SUM(D195:D196)</f>
        <v>3656910</v>
      </c>
      <c r="E197" s="6"/>
      <c r="F197" s="6"/>
    </row>
    <row r="198" spans="1:6" x14ac:dyDescent="0.3">
      <c r="A198" s="23">
        <f t="shared" si="11"/>
        <v>11</v>
      </c>
      <c r="B198" s="41"/>
      <c r="C198" s="14"/>
      <c r="D198" s="12"/>
      <c r="E198" s="6"/>
      <c r="F198" s="6"/>
    </row>
    <row r="199" spans="1:6" x14ac:dyDescent="0.3">
      <c r="A199" s="23">
        <f t="shared" si="11"/>
        <v>12</v>
      </c>
      <c r="B199" s="41" t="s">
        <v>103</v>
      </c>
      <c r="C199" s="2" t="s">
        <v>104</v>
      </c>
      <c r="D199" s="12"/>
      <c r="E199" s="6"/>
      <c r="F199" s="6"/>
    </row>
    <row r="200" spans="1:6" x14ac:dyDescent="0.3">
      <c r="A200" s="23">
        <f t="shared" si="11"/>
        <v>13</v>
      </c>
      <c r="B200" s="41"/>
      <c r="C200" s="2" t="s">
        <v>8</v>
      </c>
      <c r="D200" s="12">
        <f>SUM(3605467-535923.69-254582.53)</f>
        <v>2814960.7800000003</v>
      </c>
      <c r="E200" s="4">
        <f>SUM(4441246-835779)</f>
        <v>3605467</v>
      </c>
      <c r="F200" s="6"/>
    </row>
    <row r="201" spans="1:6" x14ac:dyDescent="0.3">
      <c r="A201" s="23">
        <f t="shared" si="11"/>
        <v>14</v>
      </c>
      <c r="B201" s="41"/>
      <c r="C201" s="2" t="s">
        <v>9</v>
      </c>
      <c r="D201" s="12">
        <f>SUM(1466542-40998.16-121791.67)</f>
        <v>1303752.1700000002</v>
      </c>
      <c r="E201" s="4">
        <f>SUM(4408343-(E210)-441801)</f>
        <v>1466542</v>
      </c>
      <c r="F201" s="6"/>
    </row>
    <row r="202" spans="1:6" x14ac:dyDescent="0.3">
      <c r="A202" s="23">
        <f t="shared" si="11"/>
        <v>15</v>
      </c>
      <c r="B202" s="41"/>
      <c r="C202" s="9" t="s">
        <v>23</v>
      </c>
      <c r="D202" s="12">
        <v>254582.53</v>
      </c>
      <c r="E202" s="4">
        <v>0</v>
      </c>
      <c r="F202" s="6"/>
    </row>
    <row r="203" spans="1:6" x14ac:dyDescent="0.3">
      <c r="A203" s="23">
        <f t="shared" si="11"/>
        <v>16</v>
      </c>
      <c r="B203" s="41"/>
      <c r="C203" s="9" t="s">
        <v>24</v>
      </c>
      <c r="D203" s="12">
        <v>121791.67</v>
      </c>
      <c r="E203" s="4">
        <v>0</v>
      </c>
      <c r="F203" s="6"/>
    </row>
    <row r="204" spans="1:6" x14ac:dyDescent="0.3">
      <c r="A204" s="23">
        <f t="shared" si="11"/>
        <v>17</v>
      </c>
      <c r="B204" s="41"/>
      <c r="C204" s="2" t="s">
        <v>10</v>
      </c>
      <c r="D204" s="12">
        <v>400402</v>
      </c>
      <c r="E204" s="4">
        <f>SUM(472902-72500)</f>
        <v>400402</v>
      </c>
      <c r="F204" s="6"/>
    </row>
    <row r="205" spans="1:6" x14ac:dyDescent="0.3">
      <c r="A205" s="23">
        <f t="shared" si="11"/>
        <v>18</v>
      </c>
      <c r="B205" s="41"/>
      <c r="C205" s="2" t="s">
        <v>11</v>
      </c>
      <c r="D205" s="12">
        <f>SUM(1815910-42771-267489+100000)</f>
        <v>1605650</v>
      </c>
      <c r="E205" s="4">
        <f>SUM(4074146-2258236)</f>
        <v>1815910</v>
      </c>
      <c r="F205" s="6"/>
    </row>
    <row r="206" spans="1:6" x14ac:dyDescent="0.3">
      <c r="A206" s="23">
        <f t="shared" si="11"/>
        <v>19</v>
      </c>
      <c r="B206" s="41"/>
      <c r="C206" s="2" t="s">
        <v>12</v>
      </c>
      <c r="D206" s="12">
        <v>240831</v>
      </c>
      <c r="E206" s="4">
        <v>240831</v>
      </c>
      <c r="F206" s="6"/>
    </row>
    <row r="207" spans="1:6" x14ac:dyDescent="0.3">
      <c r="A207" s="23">
        <f t="shared" ref="A207:A213" si="12">ROW(A21)</f>
        <v>21</v>
      </c>
      <c r="B207" s="41"/>
      <c r="C207" s="34" t="s">
        <v>105</v>
      </c>
      <c r="D207" s="36">
        <f>SUM(D200:D206)</f>
        <v>6741970.1500000004</v>
      </c>
      <c r="E207" s="4">
        <f>SUM(E200:E206)</f>
        <v>7529152</v>
      </c>
      <c r="F207" s="6"/>
    </row>
    <row r="208" spans="1:6" x14ac:dyDescent="0.3">
      <c r="A208" s="23">
        <f t="shared" si="12"/>
        <v>22</v>
      </c>
      <c r="B208" s="41"/>
      <c r="C208" s="2" t="s">
        <v>106</v>
      </c>
      <c r="D208" s="12">
        <v>1888316</v>
      </c>
      <c r="E208" s="21">
        <v>1888316</v>
      </c>
      <c r="F208" s="6"/>
    </row>
    <row r="209" spans="1:6" x14ac:dyDescent="0.3">
      <c r="A209" s="23">
        <f t="shared" si="12"/>
        <v>23</v>
      </c>
      <c r="B209" s="41"/>
      <c r="C209" s="2" t="s">
        <v>107</v>
      </c>
      <c r="D209" s="12">
        <f>SUM(535923.69+40998.16)+300000</f>
        <v>876921.85</v>
      </c>
      <c r="E209" s="21"/>
      <c r="F209" s="6"/>
    </row>
    <row r="210" spans="1:6" x14ac:dyDescent="0.3">
      <c r="A210" s="23">
        <f t="shared" si="12"/>
        <v>24</v>
      </c>
      <c r="B210" s="9" t="s">
        <v>0</v>
      </c>
      <c r="C210" s="2" t="s">
        <v>108</v>
      </c>
      <c r="D210" s="16">
        <f>SUM(2500000-2000000)</f>
        <v>500000</v>
      </c>
      <c r="E210" s="4">
        <v>2500000</v>
      </c>
      <c r="F210" s="6"/>
    </row>
    <row r="211" spans="1:6" x14ac:dyDescent="0.3">
      <c r="A211" s="23">
        <f t="shared" si="12"/>
        <v>25</v>
      </c>
      <c r="B211" s="9" t="s">
        <v>0</v>
      </c>
      <c r="C211" s="2" t="s">
        <v>109</v>
      </c>
      <c r="D211" s="16">
        <f>SUM(1720000+267489)</f>
        <v>1987489</v>
      </c>
      <c r="E211" s="4">
        <v>1720000</v>
      </c>
      <c r="F211" s="6"/>
    </row>
    <row r="212" spans="1:6" x14ac:dyDescent="0.3">
      <c r="A212" s="23">
        <f t="shared" si="12"/>
        <v>26</v>
      </c>
      <c r="B212" s="41"/>
      <c r="C212" s="34" t="s">
        <v>110</v>
      </c>
      <c r="D212" s="36">
        <f>SUM(D207,D208:D211)</f>
        <v>11994697</v>
      </c>
      <c r="E212" s="4">
        <f>SUM(E207,E208:E211)</f>
        <v>13637468</v>
      </c>
      <c r="F212" s="6"/>
    </row>
    <row r="213" spans="1:6" x14ac:dyDescent="0.3">
      <c r="A213" s="23">
        <f t="shared" si="12"/>
        <v>27</v>
      </c>
      <c r="B213" s="41"/>
      <c r="C213" s="2"/>
      <c r="D213" s="12"/>
      <c r="E213" s="6"/>
      <c r="F213" s="6"/>
    </row>
    <row r="214" spans="1:6" x14ac:dyDescent="0.3">
      <c r="A214" s="23">
        <f t="shared" ref="A214:A234" si="13">ROW(A28)</f>
        <v>28</v>
      </c>
      <c r="B214" s="41" t="s">
        <v>111</v>
      </c>
      <c r="C214" s="2" t="s">
        <v>112</v>
      </c>
      <c r="D214" s="12"/>
      <c r="E214" s="6"/>
      <c r="F214" s="6"/>
    </row>
    <row r="215" spans="1:6" x14ac:dyDescent="0.3">
      <c r="A215" s="23">
        <f t="shared" si="13"/>
        <v>29</v>
      </c>
      <c r="B215" s="41"/>
      <c r="C215" s="2" t="s">
        <v>8</v>
      </c>
      <c r="D215" s="12">
        <f>SUM(2909531-273664.43+11000)</f>
        <v>2646866.5699999998</v>
      </c>
      <c r="E215" s="46">
        <f>SUM(3068617-159086)</f>
        <v>2909531</v>
      </c>
      <c r="F215" s="6"/>
    </row>
    <row r="216" spans="1:6" x14ac:dyDescent="0.3">
      <c r="A216" s="23">
        <f t="shared" si="13"/>
        <v>30</v>
      </c>
      <c r="B216" s="41"/>
      <c r="C216" s="2" t="s">
        <v>9</v>
      </c>
      <c r="D216" s="12">
        <f>SUM(1355597-121425.35)</f>
        <v>1234171.6499999999</v>
      </c>
      <c r="E216" s="46">
        <f>SUM(1444842-89245)</f>
        <v>1355597</v>
      </c>
      <c r="F216" s="6"/>
    </row>
    <row r="217" spans="1:6" x14ac:dyDescent="0.3">
      <c r="A217" s="23">
        <f t="shared" si="13"/>
        <v>31</v>
      </c>
      <c r="B217" s="41"/>
      <c r="C217" s="9" t="s">
        <v>23</v>
      </c>
      <c r="D217" s="12">
        <v>236164.43</v>
      </c>
      <c r="E217" s="4">
        <v>0</v>
      </c>
      <c r="F217" s="6"/>
    </row>
    <row r="218" spans="1:6" x14ac:dyDescent="0.3">
      <c r="A218" s="23">
        <f t="shared" si="13"/>
        <v>32</v>
      </c>
      <c r="B218" s="41"/>
      <c r="C218" s="9" t="s">
        <v>24</v>
      </c>
      <c r="D218" s="12">
        <v>106515.93</v>
      </c>
      <c r="E218" s="4">
        <v>0</v>
      </c>
      <c r="F218" s="6"/>
    </row>
    <row r="219" spans="1:6" x14ac:dyDescent="0.3">
      <c r="A219" s="23">
        <f t="shared" si="13"/>
        <v>33</v>
      </c>
      <c r="B219" s="41"/>
      <c r="C219" s="2" t="s">
        <v>10</v>
      </c>
      <c r="D219" s="12">
        <v>7000</v>
      </c>
      <c r="E219" s="46">
        <v>7000</v>
      </c>
      <c r="F219" s="6"/>
    </row>
    <row r="220" spans="1:6" x14ac:dyDescent="0.3">
      <c r="A220" s="23">
        <f t="shared" si="13"/>
        <v>34</v>
      </c>
      <c r="B220" s="41"/>
      <c r="C220" s="2" t="s">
        <v>11</v>
      </c>
      <c r="D220" s="12">
        <v>346287</v>
      </c>
      <c r="E220" s="46">
        <v>346287</v>
      </c>
      <c r="F220" s="6"/>
    </row>
    <row r="221" spans="1:6" ht="15" customHeight="1" x14ac:dyDescent="0.3">
      <c r="A221" s="23">
        <f t="shared" si="13"/>
        <v>35</v>
      </c>
      <c r="B221" s="41"/>
      <c r="C221" s="44" t="s">
        <v>12</v>
      </c>
      <c r="D221" s="29">
        <f>SUM(81000+16000)</f>
        <v>97000</v>
      </c>
      <c r="E221" s="46">
        <v>81000</v>
      </c>
      <c r="F221" s="6"/>
    </row>
    <row r="222" spans="1:6" ht="15" customHeight="1" x14ac:dyDescent="0.3">
      <c r="A222" s="23">
        <f t="shared" si="13"/>
        <v>36</v>
      </c>
      <c r="B222" s="41"/>
      <c r="C222" s="44" t="s">
        <v>113</v>
      </c>
      <c r="D222" s="29">
        <v>97098</v>
      </c>
      <c r="E222" s="46"/>
      <c r="F222" s="6"/>
    </row>
    <row r="223" spans="1:6" ht="15" customHeight="1" x14ac:dyDescent="0.3">
      <c r="A223" s="23">
        <f t="shared" si="13"/>
        <v>37</v>
      </c>
      <c r="B223" s="41"/>
      <c r="C223" s="45" t="s">
        <v>114</v>
      </c>
      <c r="D223" s="37">
        <f>SUM(D215:D222)</f>
        <v>4771103.58</v>
      </c>
      <c r="E223" s="46">
        <f>SUM(E215:E221)</f>
        <v>4699415</v>
      </c>
      <c r="F223" s="6"/>
    </row>
    <row r="224" spans="1:6" ht="15" customHeight="1" x14ac:dyDescent="0.3">
      <c r="A224" s="23">
        <f t="shared" si="13"/>
        <v>38</v>
      </c>
      <c r="B224" s="41"/>
      <c r="C224" s="44" t="s">
        <v>115</v>
      </c>
      <c r="D224" s="29">
        <v>248331</v>
      </c>
      <c r="E224" s="46">
        <v>248331</v>
      </c>
      <c r="F224" s="6"/>
    </row>
    <row r="225" spans="1:6" ht="15" customHeight="1" x14ac:dyDescent="0.3">
      <c r="A225" s="23">
        <f t="shared" si="13"/>
        <v>39</v>
      </c>
      <c r="B225" s="41"/>
      <c r="C225" s="44" t="s">
        <v>116</v>
      </c>
      <c r="D225" s="29">
        <f>SUM(344000+161680)</f>
        <v>505680</v>
      </c>
      <c r="E225" s="46"/>
      <c r="F225" s="6"/>
    </row>
    <row r="226" spans="1:6" ht="15" customHeight="1" x14ac:dyDescent="0.3">
      <c r="A226" s="23">
        <f t="shared" si="13"/>
        <v>40</v>
      </c>
      <c r="B226" s="41"/>
      <c r="C226" s="44" t="s">
        <v>117</v>
      </c>
      <c r="D226" s="29">
        <v>284646.59999999998</v>
      </c>
      <c r="E226" s="46"/>
      <c r="F226" s="6"/>
    </row>
    <row r="227" spans="1:6" x14ac:dyDescent="0.3">
      <c r="A227" s="23">
        <f t="shared" si="13"/>
        <v>41</v>
      </c>
      <c r="B227" s="41"/>
      <c r="C227" s="34" t="s">
        <v>118</v>
      </c>
      <c r="D227" s="36">
        <f>SUM(D223,D224:D226)</f>
        <v>5809761.1799999997</v>
      </c>
      <c r="E227" s="46">
        <f>SUM(E223,E224:E225)</f>
        <v>4947746</v>
      </c>
      <c r="F227" s="6"/>
    </row>
    <row r="228" spans="1:6" x14ac:dyDescent="0.3">
      <c r="A228" s="23">
        <f t="shared" si="13"/>
        <v>42</v>
      </c>
      <c r="B228" s="41"/>
      <c r="C228" s="14"/>
      <c r="D228" s="12"/>
      <c r="E228" s="6"/>
      <c r="F228" s="6"/>
    </row>
    <row r="229" spans="1:6" x14ac:dyDescent="0.3">
      <c r="A229" s="23">
        <f t="shared" si="13"/>
        <v>43</v>
      </c>
      <c r="B229" s="41" t="s">
        <v>119</v>
      </c>
      <c r="C229" s="2" t="s">
        <v>120</v>
      </c>
      <c r="D229" s="12"/>
      <c r="E229" s="6"/>
      <c r="F229" s="6"/>
    </row>
    <row r="230" spans="1:6" x14ac:dyDescent="0.3">
      <c r="A230" s="23">
        <f t="shared" si="13"/>
        <v>44</v>
      </c>
      <c r="B230" s="41"/>
      <c r="C230" s="2" t="s">
        <v>8</v>
      </c>
      <c r="D230" s="12">
        <f>SUM(3438695-353327.12)</f>
        <v>3085367.88</v>
      </c>
      <c r="E230" s="4">
        <f>SUM(3850900-412205)</f>
        <v>3438695</v>
      </c>
      <c r="F230" s="6"/>
    </row>
    <row r="231" spans="1:6" x14ac:dyDescent="0.3">
      <c r="A231" s="23">
        <f t="shared" si="13"/>
        <v>45</v>
      </c>
      <c r="B231" s="41"/>
      <c r="C231" s="2" t="s">
        <v>9</v>
      </c>
      <c r="D231" s="12">
        <f>SUM(1422350-133103.36)</f>
        <v>1289246.6400000001</v>
      </c>
      <c r="E231" s="4">
        <f>SUM(1625501-203151)</f>
        <v>1422350</v>
      </c>
      <c r="F231" s="6"/>
    </row>
    <row r="232" spans="1:6" x14ac:dyDescent="0.3">
      <c r="A232" s="23">
        <f t="shared" si="13"/>
        <v>46</v>
      </c>
      <c r="B232" s="41"/>
      <c r="C232" s="9" t="s">
        <v>23</v>
      </c>
      <c r="D232" s="12">
        <v>310827.12</v>
      </c>
      <c r="E232" s="4">
        <v>0</v>
      </c>
      <c r="F232" s="6"/>
    </row>
    <row r="233" spans="1:6" x14ac:dyDescent="0.3">
      <c r="A233" s="23">
        <f t="shared" si="13"/>
        <v>47</v>
      </c>
      <c r="B233" s="41"/>
      <c r="C233" s="9" t="s">
        <v>24</v>
      </c>
      <c r="D233" s="12">
        <v>117852.73</v>
      </c>
      <c r="E233" s="4">
        <v>0</v>
      </c>
      <c r="F233" s="6"/>
    </row>
    <row r="234" spans="1:6" x14ac:dyDescent="0.3">
      <c r="A234" s="23">
        <f t="shared" si="13"/>
        <v>48</v>
      </c>
      <c r="B234" s="41"/>
      <c r="C234" s="2" t="s">
        <v>10</v>
      </c>
      <c r="D234" s="12">
        <f>SUM(282000-68009)</f>
        <v>213991</v>
      </c>
      <c r="E234" s="4">
        <f>SUM(406991-124991)</f>
        <v>282000</v>
      </c>
      <c r="F234" s="6"/>
    </row>
    <row r="235" spans="1:6" x14ac:dyDescent="0.3">
      <c r="A235" s="23">
        <f t="shared" ref="A235:A253" si="14">ROW(A1)</f>
        <v>1</v>
      </c>
      <c r="B235" s="41"/>
      <c r="C235" s="2" t="s">
        <v>11</v>
      </c>
      <c r="D235" s="12">
        <v>1432573</v>
      </c>
      <c r="E235" s="4">
        <f>SUM(7621316)-(E239+E240+E241+E242+E243+E244+E245+E246+E247+E248+E249+E250+E251+E252+E253+229000)</f>
        <v>1432573</v>
      </c>
      <c r="F235" s="6"/>
    </row>
    <row r="236" spans="1:6" x14ac:dyDescent="0.3">
      <c r="A236" s="23">
        <f t="shared" si="14"/>
        <v>2</v>
      </c>
      <c r="B236" s="41"/>
      <c r="C236" s="2" t="s">
        <v>12</v>
      </c>
      <c r="D236" s="12">
        <v>300000</v>
      </c>
      <c r="E236" s="4">
        <v>300000</v>
      </c>
      <c r="F236" s="6"/>
    </row>
    <row r="237" spans="1:6" x14ac:dyDescent="0.3">
      <c r="A237" s="23">
        <f t="shared" si="14"/>
        <v>3</v>
      </c>
      <c r="B237" s="41"/>
      <c r="C237" s="2" t="s">
        <v>13</v>
      </c>
      <c r="D237" s="12">
        <f>SUM(147000-47000)</f>
        <v>100000</v>
      </c>
      <c r="E237" s="4">
        <v>147000</v>
      </c>
      <c r="F237" s="6"/>
    </row>
    <row r="238" spans="1:6" x14ac:dyDescent="0.3">
      <c r="A238" s="23">
        <f t="shared" si="14"/>
        <v>4</v>
      </c>
      <c r="B238" s="41"/>
      <c r="C238" s="34" t="s">
        <v>121</v>
      </c>
      <c r="D238" s="36">
        <f>SUM(D230:D237)</f>
        <v>6849858.3700000001</v>
      </c>
      <c r="E238" s="28">
        <f>SUM(E230:E237)</f>
        <v>7022618</v>
      </c>
      <c r="F238" s="6"/>
    </row>
    <row r="239" spans="1:6" x14ac:dyDescent="0.3">
      <c r="A239" s="23">
        <f t="shared" si="14"/>
        <v>5</v>
      </c>
      <c r="B239" s="41"/>
      <c r="C239" s="2" t="s">
        <v>122</v>
      </c>
      <c r="D239" s="12">
        <v>447020</v>
      </c>
      <c r="E239" s="21">
        <v>447020</v>
      </c>
      <c r="F239" s="6"/>
    </row>
    <row r="240" spans="1:6" x14ac:dyDescent="0.3">
      <c r="A240" s="23">
        <f t="shared" si="14"/>
        <v>6</v>
      </c>
      <c r="B240" s="41"/>
      <c r="C240" s="2" t="s">
        <v>123</v>
      </c>
      <c r="D240" s="12">
        <v>350000</v>
      </c>
      <c r="E240" s="21">
        <v>350000</v>
      </c>
      <c r="F240" s="6"/>
    </row>
    <row r="241" spans="1:6" x14ac:dyDescent="0.3">
      <c r="A241" s="23">
        <f t="shared" si="14"/>
        <v>7</v>
      </c>
      <c r="B241" s="41"/>
      <c r="C241" s="2" t="s">
        <v>124</v>
      </c>
      <c r="D241" s="12">
        <v>75000</v>
      </c>
      <c r="E241" s="21">
        <v>75000</v>
      </c>
      <c r="F241" s="6"/>
    </row>
    <row r="242" spans="1:6" x14ac:dyDescent="0.3">
      <c r="A242" s="23">
        <f t="shared" si="14"/>
        <v>8</v>
      </c>
      <c r="B242" s="41"/>
      <c r="C242" s="2" t="s">
        <v>125</v>
      </c>
      <c r="D242" s="12">
        <f>SUM(8000)</f>
        <v>8000</v>
      </c>
      <c r="E242" s="21">
        <v>8000</v>
      </c>
      <c r="F242" s="6"/>
    </row>
    <row r="243" spans="1:6" x14ac:dyDescent="0.3">
      <c r="A243" s="23">
        <f t="shared" si="14"/>
        <v>9</v>
      </c>
      <c r="B243" s="41"/>
      <c r="C243" s="2" t="s">
        <v>126</v>
      </c>
      <c r="D243" s="12">
        <v>25000</v>
      </c>
      <c r="E243" s="21">
        <v>25000</v>
      </c>
      <c r="F243" s="6"/>
    </row>
    <row r="244" spans="1:6" x14ac:dyDescent="0.3">
      <c r="A244" s="23">
        <f t="shared" si="14"/>
        <v>10</v>
      </c>
      <c r="B244" s="41"/>
      <c r="C244" s="2" t="s">
        <v>127</v>
      </c>
      <c r="D244" s="12">
        <v>40000</v>
      </c>
      <c r="E244" s="21">
        <v>40000</v>
      </c>
      <c r="F244" s="6"/>
    </row>
    <row r="245" spans="1:6" x14ac:dyDescent="0.3">
      <c r="A245" s="23">
        <f t="shared" si="14"/>
        <v>11</v>
      </c>
      <c r="B245" s="41"/>
      <c r="C245" s="2" t="s">
        <v>128</v>
      </c>
      <c r="D245" s="12">
        <v>150000</v>
      </c>
      <c r="E245" s="21">
        <v>150000</v>
      </c>
      <c r="F245" s="6"/>
    </row>
    <row r="246" spans="1:6" x14ac:dyDescent="0.3">
      <c r="A246" s="23">
        <f t="shared" si="14"/>
        <v>12</v>
      </c>
      <c r="B246" s="41"/>
      <c r="C246" s="2" t="s">
        <v>129</v>
      </c>
      <c r="D246" s="12">
        <f>SUM(200000-50000)</f>
        <v>150000</v>
      </c>
      <c r="E246" s="21">
        <v>150000</v>
      </c>
      <c r="F246" s="6"/>
    </row>
    <row r="247" spans="1:6" x14ac:dyDescent="0.3">
      <c r="A247" s="23">
        <f t="shared" si="14"/>
        <v>13</v>
      </c>
      <c r="B247" s="41"/>
      <c r="C247" s="2" t="s">
        <v>130</v>
      </c>
      <c r="D247" s="12">
        <f>SUM(820000)</f>
        <v>820000</v>
      </c>
      <c r="E247" s="21">
        <v>820000</v>
      </c>
      <c r="F247" s="6"/>
    </row>
    <row r="248" spans="1:6" x14ac:dyDescent="0.3">
      <c r="A248" s="23">
        <f t="shared" si="14"/>
        <v>14</v>
      </c>
      <c r="B248" s="41"/>
      <c r="C248" s="2" t="s">
        <v>131</v>
      </c>
      <c r="D248" s="12">
        <v>45000</v>
      </c>
      <c r="E248" s="21">
        <v>45000</v>
      </c>
      <c r="F248" s="6"/>
    </row>
    <row r="249" spans="1:6" x14ac:dyDescent="0.3">
      <c r="A249" s="23">
        <f t="shared" si="14"/>
        <v>15</v>
      </c>
      <c r="B249" s="41"/>
      <c r="C249" s="2" t="s">
        <v>132</v>
      </c>
      <c r="D249" s="12">
        <v>503000</v>
      </c>
      <c r="E249" s="21">
        <v>503000</v>
      </c>
      <c r="F249" s="6"/>
    </row>
    <row r="250" spans="1:6" x14ac:dyDescent="0.3">
      <c r="A250" s="23">
        <f t="shared" si="14"/>
        <v>16</v>
      </c>
      <c r="B250" s="41"/>
      <c r="C250" s="2" t="s">
        <v>133</v>
      </c>
      <c r="D250" s="12">
        <v>721723</v>
      </c>
      <c r="E250" s="21">
        <v>721723</v>
      </c>
      <c r="F250" s="6"/>
    </row>
    <row r="251" spans="1:6" x14ac:dyDescent="0.3">
      <c r="A251" s="23">
        <f t="shared" si="14"/>
        <v>17</v>
      </c>
      <c r="B251" s="41"/>
      <c r="C251" s="2" t="s">
        <v>134</v>
      </c>
      <c r="D251" s="12">
        <v>2400000</v>
      </c>
      <c r="E251" s="21">
        <v>2400000</v>
      </c>
      <c r="F251" s="6"/>
    </row>
    <row r="252" spans="1:6" x14ac:dyDescent="0.3">
      <c r="A252" s="23">
        <f t="shared" si="14"/>
        <v>18</v>
      </c>
      <c r="B252" s="41"/>
      <c r="C252" s="2" t="s">
        <v>135</v>
      </c>
      <c r="D252" s="12">
        <v>100000</v>
      </c>
      <c r="E252" s="21">
        <v>100000</v>
      </c>
      <c r="F252" s="6"/>
    </row>
    <row r="253" spans="1:6" x14ac:dyDescent="0.3">
      <c r="A253" s="23">
        <f t="shared" si="14"/>
        <v>19</v>
      </c>
      <c r="B253" s="41"/>
      <c r="C253" s="2" t="s">
        <v>136</v>
      </c>
      <c r="D253" s="12">
        <v>125000</v>
      </c>
      <c r="E253" s="21">
        <v>125000</v>
      </c>
      <c r="F253" s="6"/>
    </row>
    <row r="254" spans="1:6" x14ac:dyDescent="0.3">
      <c r="A254" s="23">
        <f t="shared" ref="A254:A260" si="15">ROW(A21)</f>
        <v>21</v>
      </c>
      <c r="B254" s="41"/>
      <c r="C254" s="34" t="s">
        <v>137</v>
      </c>
      <c r="D254" s="36">
        <f>SUM(D238,D239:D253)</f>
        <v>12809601.370000001</v>
      </c>
      <c r="E254" s="28">
        <f>SUM(E238,E239:E253)</f>
        <v>12982361</v>
      </c>
      <c r="F254" s="6"/>
    </row>
    <row r="255" spans="1:6" x14ac:dyDescent="0.3">
      <c r="A255" s="23">
        <f t="shared" si="15"/>
        <v>22</v>
      </c>
      <c r="B255" s="41"/>
      <c r="C255" s="14"/>
      <c r="D255" s="12" t="s">
        <v>0</v>
      </c>
      <c r="E255" s="6"/>
      <c r="F255" s="6"/>
    </row>
    <row r="256" spans="1:6" x14ac:dyDescent="0.3">
      <c r="A256" s="23">
        <f t="shared" si="15"/>
        <v>23</v>
      </c>
      <c r="B256" s="41" t="s">
        <v>138</v>
      </c>
      <c r="C256" s="2" t="s">
        <v>139</v>
      </c>
      <c r="D256" s="12" t="s">
        <v>0</v>
      </c>
      <c r="E256" s="6"/>
      <c r="F256" s="6"/>
    </row>
    <row r="257" spans="1:6" x14ac:dyDescent="0.3">
      <c r="A257" s="23">
        <f t="shared" si="15"/>
        <v>24</v>
      </c>
      <c r="B257" s="41"/>
      <c r="C257" s="2" t="s">
        <v>8</v>
      </c>
      <c r="D257" s="12">
        <f>SUM(104637975-2824449.45)</f>
        <v>101813525.55</v>
      </c>
      <c r="E257" s="6"/>
      <c r="F257" s="6"/>
    </row>
    <row r="258" spans="1:6" x14ac:dyDescent="0.3">
      <c r="A258" s="23">
        <f t="shared" si="15"/>
        <v>25</v>
      </c>
      <c r="B258" s="41"/>
      <c r="C258" s="2" t="s">
        <v>9</v>
      </c>
      <c r="D258" s="12">
        <f>SUM(51735067-1382867.72)</f>
        <v>50352199.280000001</v>
      </c>
      <c r="E258" s="6"/>
      <c r="F258" s="6"/>
    </row>
    <row r="259" spans="1:6" x14ac:dyDescent="0.3">
      <c r="A259" s="23">
        <f t="shared" si="15"/>
        <v>26</v>
      </c>
      <c r="B259" s="41"/>
      <c r="C259" s="2" t="s">
        <v>140</v>
      </c>
      <c r="D259" s="12">
        <v>765000</v>
      </c>
      <c r="E259" s="6"/>
      <c r="F259" s="6"/>
    </row>
    <row r="260" spans="1:6" x14ac:dyDescent="0.3">
      <c r="A260" s="23">
        <f t="shared" si="15"/>
        <v>27</v>
      </c>
      <c r="B260" s="41"/>
      <c r="C260" s="2" t="s">
        <v>10</v>
      </c>
      <c r="D260" s="12">
        <f>SUM(881528-110000)</f>
        <v>771528</v>
      </c>
      <c r="E260" s="6"/>
      <c r="F260" s="6"/>
    </row>
    <row r="261" spans="1:6" x14ac:dyDescent="0.3">
      <c r="A261" s="23">
        <f t="shared" ref="A261:A281" si="16">ROW(A28)</f>
        <v>28</v>
      </c>
      <c r="B261" s="41"/>
      <c r="C261" s="2" t="s">
        <v>11</v>
      </c>
      <c r="D261" s="12">
        <f>SUM(7829938-185192)</f>
        <v>7644746</v>
      </c>
      <c r="E261" s="6"/>
      <c r="F261" s="6"/>
    </row>
    <row r="262" spans="1:6" x14ac:dyDescent="0.3">
      <c r="A262" s="23">
        <f t="shared" si="16"/>
        <v>29</v>
      </c>
      <c r="B262" s="41"/>
      <c r="C262" s="2" t="s">
        <v>141</v>
      </c>
      <c r="D262" s="12">
        <v>640000</v>
      </c>
      <c r="E262" s="6"/>
      <c r="F262" s="6"/>
    </row>
    <row r="263" spans="1:6" x14ac:dyDescent="0.3">
      <c r="A263" s="23">
        <f t="shared" si="16"/>
        <v>30</v>
      </c>
      <c r="B263" s="41"/>
      <c r="C263" s="2" t="s">
        <v>12</v>
      </c>
      <c r="D263" s="12">
        <f>SUM(5000000+3500000)</f>
        <v>8500000</v>
      </c>
      <c r="E263" s="6"/>
      <c r="F263" s="6"/>
    </row>
    <row r="264" spans="1:6" x14ac:dyDescent="0.3">
      <c r="A264" s="23">
        <f t="shared" si="16"/>
        <v>31</v>
      </c>
      <c r="B264" s="41"/>
      <c r="C264" s="34" t="s">
        <v>142</v>
      </c>
      <c r="D264" s="36">
        <f>SUM(D257:D263)</f>
        <v>170486998.82999998</v>
      </c>
      <c r="E264" s="6"/>
      <c r="F264" s="6"/>
    </row>
    <row r="265" spans="1:6" x14ac:dyDescent="0.3">
      <c r="A265" s="23">
        <f t="shared" si="16"/>
        <v>32</v>
      </c>
      <c r="B265" s="41"/>
      <c r="C265" s="2" t="s">
        <v>143</v>
      </c>
      <c r="D265" s="12">
        <v>100000</v>
      </c>
      <c r="E265" s="6"/>
      <c r="F265" s="6"/>
    </row>
    <row r="266" spans="1:6" x14ac:dyDescent="0.3">
      <c r="A266" s="23">
        <f t="shared" si="16"/>
        <v>33</v>
      </c>
      <c r="B266" s="41"/>
      <c r="C266" s="2" t="s">
        <v>144</v>
      </c>
      <c r="D266" s="12">
        <v>125000</v>
      </c>
      <c r="E266" s="6"/>
      <c r="F266" s="6"/>
    </row>
    <row r="267" spans="1:6" x14ac:dyDescent="0.3">
      <c r="A267" s="23">
        <f t="shared" si="16"/>
        <v>34</v>
      </c>
      <c r="B267" s="41"/>
      <c r="C267" s="2" t="s">
        <v>145</v>
      </c>
      <c r="D267" s="11">
        <v>5000</v>
      </c>
      <c r="E267" s="6"/>
      <c r="F267" s="6"/>
    </row>
    <row r="268" spans="1:6" x14ac:dyDescent="0.3">
      <c r="A268" s="23">
        <f t="shared" si="16"/>
        <v>35</v>
      </c>
      <c r="B268" s="41"/>
      <c r="C268" s="34" t="s">
        <v>146</v>
      </c>
      <c r="D268" s="36">
        <f>SUM(D264,D265:D267)</f>
        <v>170716998.82999998</v>
      </c>
      <c r="E268" s="6"/>
      <c r="F268" s="6"/>
    </row>
    <row r="269" spans="1:6" x14ac:dyDescent="0.3">
      <c r="A269" s="23">
        <f t="shared" si="16"/>
        <v>36</v>
      </c>
      <c r="B269" s="9"/>
      <c r="C269" s="14"/>
      <c r="D269" s="12"/>
      <c r="E269" s="6"/>
      <c r="F269" s="6"/>
    </row>
    <row r="270" spans="1:6" x14ac:dyDescent="0.3">
      <c r="A270" s="23">
        <f t="shared" si="16"/>
        <v>37</v>
      </c>
      <c r="B270" s="41" t="s">
        <v>147</v>
      </c>
      <c r="C270" s="2" t="s">
        <v>148</v>
      </c>
      <c r="D270" s="12"/>
      <c r="E270" s="6"/>
      <c r="F270" s="6"/>
    </row>
    <row r="271" spans="1:6" x14ac:dyDescent="0.3">
      <c r="A271" s="23">
        <f t="shared" si="16"/>
        <v>38</v>
      </c>
      <c r="B271" s="41"/>
      <c r="C271" s="2" t="s">
        <v>8</v>
      </c>
      <c r="D271" s="12">
        <f>SUM(40662452-1478825.46)</f>
        <v>39183626.539999999</v>
      </c>
      <c r="E271" s="46">
        <v>40662452</v>
      </c>
      <c r="F271" s="6"/>
    </row>
    <row r="272" spans="1:6" x14ac:dyDescent="0.3">
      <c r="A272" s="23">
        <f t="shared" si="16"/>
        <v>39</v>
      </c>
      <c r="B272" s="41"/>
      <c r="C272" s="2" t="s">
        <v>9</v>
      </c>
      <c r="D272" s="12">
        <f>SUM(15151536-762399.3)</f>
        <v>14389136.699999999</v>
      </c>
      <c r="E272" s="46">
        <v>15151536</v>
      </c>
      <c r="F272" s="6"/>
    </row>
    <row r="273" spans="1:6" x14ac:dyDescent="0.3">
      <c r="A273" s="23">
        <f t="shared" si="16"/>
        <v>40</v>
      </c>
      <c r="B273" s="41"/>
      <c r="C273" s="9" t="s">
        <v>23</v>
      </c>
      <c r="D273" s="12">
        <v>1478825.46</v>
      </c>
      <c r="E273" s="4">
        <v>0</v>
      </c>
      <c r="F273" s="6"/>
    </row>
    <row r="274" spans="1:6" x14ac:dyDescent="0.3">
      <c r="A274" s="23">
        <f t="shared" si="16"/>
        <v>41</v>
      </c>
      <c r="B274" s="41"/>
      <c r="C274" s="9" t="s">
        <v>24</v>
      </c>
      <c r="D274" s="12">
        <v>762399.3</v>
      </c>
      <c r="E274" s="4">
        <v>0</v>
      </c>
      <c r="F274" s="6"/>
    </row>
    <row r="275" spans="1:6" x14ac:dyDescent="0.3">
      <c r="A275" s="23">
        <f t="shared" si="16"/>
        <v>42</v>
      </c>
      <c r="B275" s="41"/>
      <c r="C275" s="2" t="s">
        <v>10</v>
      </c>
      <c r="D275" s="12">
        <f>SUM(3655947+200000)</f>
        <v>3855947</v>
      </c>
      <c r="E275" s="46">
        <f>SUM(4486641-830694)</f>
        <v>3655947</v>
      </c>
      <c r="F275" s="6"/>
    </row>
    <row r="276" spans="1:6" x14ac:dyDescent="0.3">
      <c r="A276" s="23">
        <f t="shared" si="16"/>
        <v>43</v>
      </c>
      <c r="B276" s="41"/>
      <c r="C276" s="2" t="s">
        <v>11</v>
      </c>
      <c r="D276" s="12">
        <f>SUM(10592822-887000)</f>
        <v>9705822</v>
      </c>
      <c r="E276" s="46">
        <f>SUM(11941822-1349000)</f>
        <v>10592822</v>
      </c>
      <c r="F276" s="6"/>
    </row>
    <row r="277" spans="1:6" x14ac:dyDescent="0.3">
      <c r="A277" s="23">
        <f t="shared" si="16"/>
        <v>44</v>
      </c>
      <c r="B277" s="41"/>
      <c r="C277" s="2" t="s">
        <v>12</v>
      </c>
      <c r="D277" s="12">
        <f>SUM(2111316-311316)</f>
        <v>1800000</v>
      </c>
      <c r="E277" s="46">
        <v>2111316</v>
      </c>
      <c r="F277" s="6"/>
    </row>
    <row r="278" spans="1:6" x14ac:dyDescent="0.3">
      <c r="A278" s="23">
        <f t="shared" si="16"/>
        <v>45</v>
      </c>
      <c r="B278" s="41"/>
      <c r="C278" s="34" t="s">
        <v>149</v>
      </c>
      <c r="D278" s="36">
        <f>SUM(D271:D277)</f>
        <v>71175757</v>
      </c>
      <c r="E278" s="46">
        <f>SUM(E271:E277)</f>
        <v>72174073</v>
      </c>
      <c r="F278" s="6"/>
    </row>
    <row r="279" spans="1:6" x14ac:dyDescent="0.3">
      <c r="A279" s="23">
        <f t="shared" si="16"/>
        <v>46</v>
      </c>
      <c r="B279" s="41"/>
      <c r="C279" s="2" t="s">
        <v>150</v>
      </c>
      <c r="D279" s="11">
        <v>1826694</v>
      </c>
      <c r="E279" s="46">
        <v>1826694</v>
      </c>
      <c r="F279" s="6"/>
    </row>
    <row r="280" spans="1:6" x14ac:dyDescent="0.3">
      <c r="A280" s="23">
        <f t="shared" si="16"/>
        <v>47</v>
      </c>
      <c r="B280" s="41"/>
      <c r="C280" s="2" t="s">
        <v>151</v>
      </c>
      <c r="D280" s="11">
        <v>100000</v>
      </c>
      <c r="E280" s="46">
        <v>100000</v>
      </c>
      <c r="F280" s="6"/>
    </row>
    <row r="281" spans="1:6" x14ac:dyDescent="0.3">
      <c r="A281" s="23">
        <f t="shared" si="16"/>
        <v>48</v>
      </c>
      <c r="B281" s="41"/>
      <c r="C281" s="2" t="s">
        <v>152</v>
      </c>
      <c r="D281" s="11">
        <f>SUM(40000+25000)</f>
        <v>65000</v>
      </c>
      <c r="E281" s="46">
        <v>40000</v>
      </c>
      <c r="F281" s="6"/>
    </row>
    <row r="282" spans="1:6" x14ac:dyDescent="0.3">
      <c r="A282" s="23">
        <f t="shared" ref="A282:A300" si="17">ROW(A1)</f>
        <v>1</v>
      </c>
      <c r="B282" s="41"/>
      <c r="C282" s="2" t="s">
        <v>153</v>
      </c>
      <c r="D282" s="11">
        <f>SUM(38000+27000)</f>
        <v>65000</v>
      </c>
      <c r="E282" s="46">
        <v>38000</v>
      </c>
      <c r="F282" s="6"/>
    </row>
    <row r="283" spans="1:6" x14ac:dyDescent="0.3">
      <c r="A283" s="23">
        <f t="shared" si="17"/>
        <v>2</v>
      </c>
      <c r="B283" s="41"/>
      <c r="C283" s="2" t="s">
        <v>154</v>
      </c>
      <c r="D283" s="11">
        <f>SUM(92000-27000)</f>
        <v>65000</v>
      </c>
      <c r="E283" s="46">
        <v>92000</v>
      </c>
      <c r="F283" s="6"/>
    </row>
    <row r="284" spans="1:6" x14ac:dyDescent="0.3">
      <c r="A284" s="23">
        <f t="shared" si="17"/>
        <v>3</v>
      </c>
      <c r="B284" s="41"/>
      <c r="C284" s="50" t="s">
        <v>155</v>
      </c>
      <c r="D284" s="11">
        <f>SUM(90000-25000)</f>
        <v>65000</v>
      </c>
      <c r="E284" s="46">
        <v>90000</v>
      </c>
      <c r="F284" s="6"/>
    </row>
    <row r="285" spans="1:6" x14ac:dyDescent="0.3">
      <c r="A285" s="23">
        <f t="shared" si="17"/>
        <v>4</v>
      </c>
      <c r="B285" s="41"/>
      <c r="C285" s="2" t="s">
        <v>156</v>
      </c>
      <c r="D285" s="11">
        <v>250000</v>
      </c>
      <c r="E285" s="46">
        <v>0</v>
      </c>
      <c r="F285" s="47">
        <f>SUM(E279:E285)</f>
        <v>2186694</v>
      </c>
    </row>
    <row r="286" spans="1:6" x14ac:dyDescent="0.3">
      <c r="A286" s="23">
        <f t="shared" si="17"/>
        <v>5</v>
      </c>
      <c r="B286" s="41"/>
      <c r="C286" s="34" t="s">
        <v>157</v>
      </c>
      <c r="D286" s="36">
        <f>SUM(D278,D279:D285)</f>
        <v>73612451</v>
      </c>
      <c r="E286" s="46">
        <f>SUM(E278,E279:E285)</f>
        <v>74360767</v>
      </c>
      <c r="F286" s="6"/>
    </row>
    <row r="287" spans="1:6" x14ac:dyDescent="0.3">
      <c r="A287" s="23">
        <f t="shared" si="17"/>
        <v>6</v>
      </c>
      <c r="B287" s="41"/>
      <c r="C287" s="2"/>
      <c r="D287" s="12"/>
      <c r="E287" s="6"/>
      <c r="F287" s="6"/>
    </row>
    <row r="288" spans="1:6" x14ac:dyDescent="0.3">
      <c r="A288" s="23">
        <f t="shared" si="17"/>
        <v>7</v>
      </c>
      <c r="B288" s="41" t="s">
        <v>158</v>
      </c>
      <c r="C288" s="2" t="s">
        <v>159</v>
      </c>
      <c r="D288" s="12"/>
      <c r="E288" s="6"/>
      <c r="F288" s="6"/>
    </row>
    <row r="289" spans="1:7" x14ac:dyDescent="0.3">
      <c r="A289" s="23">
        <f t="shared" si="17"/>
        <v>8</v>
      </c>
      <c r="B289" s="41"/>
      <c r="C289" s="2" t="s">
        <v>8</v>
      </c>
      <c r="D289" s="12">
        <v>515905</v>
      </c>
      <c r="E289" s="6"/>
      <c r="F289" s="6"/>
    </row>
    <row r="290" spans="1:7" x14ac:dyDescent="0.3">
      <c r="A290" s="23">
        <f t="shared" si="17"/>
        <v>9</v>
      </c>
      <c r="B290" s="41"/>
      <c r="C290" s="2" t="s">
        <v>9</v>
      </c>
      <c r="D290" s="12">
        <v>218861</v>
      </c>
      <c r="E290" s="6"/>
      <c r="F290" s="6"/>
      <c r="G290" s="5" t="s">
        <v>160</v>
      </c>
    </row>
    <row r="291" spans="1:7" x14ac:dyDescent="0.3">
      <c r="A291" s="23">
        <f t="shared" si="17"/>
        <v>10</v>
      </c>
      <c r="B291" s="41"/>
      <c r="C291" s="34" t="s">
        <v>161</v>
      </c>
      <c r="D291" s="36">
        <f>SUM(D289:D290)</f>
        <v>734766</v>
      </c>
      <c r="E291" s="6"/>
      <c r="F291" s="6"/>
    </row>
    <row r="292" spans="1:7" x14ac:dyDescent="0.3">
      <c r="A292" s="23">
        <f t="shared" si="17"/>
        <v>11</v>
      </c>
      <c r="B292" s="41"/>
      <c r="C292" s="14"/>
      <c r="D292" s="12"/>
      <c r="E292" s="6"/>
      <c r="F292" s="6"/>
    </row>
    <row r="293" spans="1:7" x14ac:dyDescent="0.3">
      <c r="A293" s="23">
        <f t="shared" si="17"/>
        <v>12</v>
      </c>
      <c r="B293" s="41" t="s">
        <v>162</v>
      </c>
      <c r="C293" s="2" t="s">
        <v>163</v>
      </c>
      <c r="D293" s="12"/>
      <c r="E293" s="6"/>
      <c r="F293" s="6"/>
    </row>
    <row r="294" spans="1:7" x14ac:dyDescent="0.3">
      <c r="A294" s="23">
        <f t="shared" si="17"/>
        <v>13</v>
      </c>
      <c r="B294" s="41"/>
      <c r="C294" s="2" t="s">
        <v>8</v>
      </c>
      <c r="D294" s="12">
        <f>SUM(2823123-2971.85)</f>
        <v>2820151.15</v>
      </c>
      <c r="E294" s="46">
        <v>2823123</v>
      </c>
      <c r="F294" s="6"/>
    </row>
    <row r="295" spans="1:7" x14ac:dyDescent="0.3">
      <c r="A295" s="23">
        <f t="shared" si="17"/>
        <v>14</v>
      </c>
      <c r="B295" s="41"/>
      <c r="C295" s="2" t="s">
        <v>9</v>
      </c>
      <c r="D295" s="12">
        <f>SUM(1264525+4489.62)</f>
        <v>1269014.6200000001</v>
      </c>
      <c r="E295" s="46">
        <v>1264525</v>
      </c>
      <c r="F295" s="6"/>
    </row>
    <row r="296" spans="1:7" x14ac:dyDescent="0.3">
      <c r="A296" s="23">
        <f t="shared" si="17"/>
        <v>15</v>
      </c>
      <c r="B296" s="41"/>
      <c r="C296" s="2" t="s">
        <v>10</v>
      </c>
      <c r="D296" s="12">
        <v>132681</v>
      </c>
      <c r="E296" s="46">
        <v>132681</v>
      </c>
      <c r="F296" s="6"/>
    </row>
    <row r="297" spans="1:7" x14ac:dyDescent="0.3">
      <c r="A297" s="23">
        <f t="shared" si="17"/>
        <v>16</v>
      </c>
      <c r="B297" s="41"/>
      <c r="C297" s="2" t="s">
        <v>11</v>
      </c>
      <c r="D297" s="12">
        <v>1287417</v>
      </c>
      <c r="E297" s="46">
        <f>SUM(8644717-F302)</f>
        <v>1287417</v>
      </c>
      <c r="F297" s="6"/>
    </row>
    <row r="298" spans="1:7" x14ac:dyDescent="0.3">
      <c r="A298" s="23">
        <f t="shared" si="17"/>
        <v>17</v>
      </c>
      <c r="B298" s="41"/>
      <c r="C298" s="2" t="s">
        <v>12</v>
      </c>
      <c r="D298" s="12">
        <f>SUM(400000+50000)</f>
        <v>450000</v>
      </c>
      <c r="E298" s="46">
        <v>450000</v>
      </c>
      <c r="F298" s="6"/>
    </row>
    <row r="299" spans="1:7" x14ac:dyDescent="0.3">
      <c r="A299" s="23">
        <f t="shared" si="17"/>
        <v>18</v>
      </c>
      <c r="B299" s="41"/>
      <c r="C299" s="2" t="s">
        <v>13</v>
      </c>
      <c r="D299" s="12">
        <v>300000</v>
      </c>
      <c r="E299" s="46">
        <v>300000</v>
      </c>
      <c r="F299" s="6"/>
    </row>
    <row r="300" spans="1:7" x14ac:dyDescent="0.3">
      <c r="A300" s="23">
        <f t="shared" si="17"/>
        <v>19</v>
      </c>
      <c r="B300" s="41"/>
      <c r="C300" s="34" t="s">
        <v>164</v>
      </c>
      <c r="D300" s="36">
        <f>SUM(D294:D299)</f>
        <v>6259263.7699999996</v>
      </c>
      <c r="E300" s="46">
        <f>SUM(E294:E299)</f>
        <v>6257746</v>
      </c>
      <c r="F300" s="6"/>
    </row>
    <row r="301" spans="1:7" x14ac:dyDescent="0.3">
      <c r="A301" s="23">
        <f t="shared" ref="A301:A307" si="18">ROW(A21)</f>
        <v>21</v>
      </c>
      <c r="B301" s="41"/>
      <c r="C301" s="2" t="s">
        <v>165</v>
      </c>
      <c r="D301" s="12">
        <v>7257300</v>
      </c>
      <c r="E301" s="46">
        <v>7257300</v>
      </c>
      <c r="F301" s="6"/>
    </row>
    <row r="302" spans="1:7" x14ac:dyDescent="0.3">
      <c r="A302" s="23">
        <f t="shared" si="18"/>
        <v>22</v>
      </c>
      <c r="B302" s="41"/>
      <c r="C302" s="2" t="s">
        <v>166</v>
      </c>
      <c r="D302" s="12">
        <v>100000</v>
      </c>
      <c r="E302" s="46">
        <v>100000</v>
      </c>
      <c r="F302" s="47">
        <f>SUM(E301:E302)</f>
        <v>7357300</v>
      </c>
    </row>
    <row r="303" spans="1:7" x14ac:dyDescent="0.3">
      <c r="A303" s="23">
        <f t="shared" si="18"/>
        <v>23</v>
      </c>
      <c r="B303" s="41"/>
      <c r="C303" s="34" t="s">
        <v>167</v>
      </c>
      <c r="D303" s="36">
        <f>SUM(D300,D301:D302)</f>
        <v>13616563.77</v>
      </c>
      <c r="E303" s="46">
        <f>SUM(E300,E301:E302)</f>
        <v>13615046</v>
      </c>
      <c r="F303" s="6"/>
    </row>
    <row r="304" spans="1:7" x14ac:dyDescent="0.3">
      <c r="A304" s="23">
        <f t="shared" si="18"/>
        <v>24</v>
      </c>
      <c r="B304" s="41"/>
      <c r="C304" s="14"/>
      <c r="D304" s="12"/>
      <c r="E304" s="6"/>
      <c r="F304" s="6"/>
    </row>
    <row r="305" spans="1:6" x14ac:dyDescent="0.3">
      <c r="A305" s="23">
        <f t="shared" si="18"/>
        <v>25</v>
      </c>
      <c r="B305" s="41" t="s">
        <v>168</v>
      </c>
      <c r="C305" s="2" t="s">
        <v>169</v>
      </c>
      <c r="D305" s="12"/>
      <c r="E305" s="6"/>
      <c r="F305" s="6"/>
    </row>
    <row r="306" spans="1:6" x14ac:dyDescent="0.3">
      <c r="A306" s="23">
        <f t="shared" si="18"/>
        <v>26</v>
      </c>
      <c r="B306" s="41"/>
      <c r="C306" s="2" t="s">
        <v>8</v>
      </c>
      <c r="D306" s="12">
        <f>SUM(7559307+184071.58)</f>
        <v>7743378.5800000001</v>
      </c>
      <c r="E306" s="46">
        <v>7559307</v>
      </c>
      <c r="F306" s="6"/>
    </row>
    <row r="307" spans="1:6" x14ac:dyDescent="0.3">
      <c r="A307" s="23">
        <f t="shared" si="18"/>
        <v>27</v>
      </c>
      <c r="B307" s="41"/>
      <c r="C307" s="2" t="s">
        <v>9</v>
      </c>
      <c r="D307" s="12">
        <f>SUM(3727235+27928.06)</f>
        <v>3755163.06</v>
      </c>
      <c r="E307" s="46">
        <v>3727235</v>
      </c>
      <c r="F307" s="6"/>
    </row>
    <row r="308" spans="1:6" x14ac:dyDescent="0.3">
      <c r="A308" s="23">
        <f t="shared" ref="A308:A328" si="19">ROW(A28)</f>
        <v>28</v>
      </c>
      <c r="B308" s="41"/>
      <c r="C308" s="2" t="s">
        <v>10</v>
      </c>
      <c r="D308" s="12">
        <v>898000</v>
      </c>
      <c r="E308" s="46">
        <v>898000</v>
      </c>
      <c r="F308" s="6"/>
    </row>
    <row r="309" spans="1:6" x14ac:dyDescent="0.3">
      <c r="A309" s="23">
        <f t="shared" si="19"/>
        <v>29</v>
      </c>
      <c r="B309" s="41"/>
      <c r="C309" s="2" t="s">
        <v>11</v>
      </c>
      <c r="D309" s="12">
        <v>4875778</v>
      </c>
      <c r="E309" s="46">
        <f>SUM(5075778-E313)</f>
        <v>4875778</v>
      </c>
      <c r="F309" s="6"/>
    </row>
    <row r="310" spans="1:6" x14ac:dyDescent="0.3">
      <c r="A310" s="23">
        <f t="shared" si="19"/>
        <v>30</v>
      </c>
      <c r="B310" s="41"/>
      <c r="C310" s="2" t="s">
        <v>12</v>
      </c>
      <c r="D310" s="12">
        <v>886000</v>
      </c>
      <c r="E310" s="46">
        <v>886000</v>
      </c>
      <c r="F310" s="6"/>
    </row>
    <row r="311" spans="1:6" x14ac:dyDescent="0.3">
      <c r="A311" s="23">
        <f t="shared" si="19"/>
        <v>31</v>
      </c>
      <c r="B311" s="41"/>
      <c r="C311" s="2" t="s">
        <v>13</v>
      </c>
      <c r="D311" s="12">
        <v>100000</v>
      </c>
      <c r="E311" s="46">
        <v>100000</v>
      </c>
      <c r="F311" s="6"/>
    </row>
    <row r="312" spans="1:6" x14ac:dyDescent="0.3">
      <c r="A312" s="23">
        <f t="shared" si="19"/>
        <v>32</v>
      </c>
      <c r="B312" s="41"/>
      <c r="C312" s="34" t="s">
        <v>170</v>
      </c>
      <c r="D312" s="36">
        <f>SUM(D306:D311)</f>
        <v>18258319.640000001</v>
      </c>
      <c r="E312" s="46">
        <f>SUM(E306:E311)</f>
        <v>18046320</v>
      </c>
      <c r="F312" s="6"/>
    </row>
    <row r="313" spans="1:6" x14ac:dyDescent="0.3">
      <c r="A313" s="23">
        <f t="shared" si="19"/>
        <v>33</v>
      </c>
      <c r="B313" s="41"/>
      <c r="C313" s="2" t="s">
        <v>171</v>
      </c>
      <c r="D313" s="12">
        <v>200000</v>
      </c>
      <c r="E313" s="46">
        <v>200000</v>
      </c>
      <c r="F313" s="6"/>
    </row>
    <row r="314" spans="1:6" x14ac:dyDescent="0.3">
      <c r="A314" s="23">
        <f t="shared" si="19"/>
        <v>34</v>
      </c>
      <c r="B314" s="41"/>
      <c r="C314" s="34" t="s">
        <v>172</v>
      </c>
      <c r="D314" s="36">
        <f>SUM(D312,D313:D313)</f>
        <v>18458319.640000001</v>
      </c>
      <c r="E314" s="46">
        <f>SUM(E312,E313:E313)</f>
        <v>18246320</v>
      </c>
      <c r="F314" s="6"/>
    </row>
    <row r="315" spans="1:6" x14ac:dyDescent="0.3">
      <c r="A315" s="23">
        <f t="shared" si="19"/>
        <v>35</v>
      </c>
      <c r="B315" s="9"/>
      <c r="C315" s="14"/>
      <c r="D315" s="12"/>
      <c r="E315" s="6"/>
      <c r="F315" s="6"/>
    </row>
    <row r="316" spans="1:6" x14ac:dyDescent="0.3">
      <c r="A316" s="23">
        <f t="shared" si="19"/>
        <v>36</v>
      </c>
      <c r="B316" s="41" t="s">
        <v>173</v>
      </c>
      <c r="C316" s="2" t="s">
        <v>174</v>
      </c>
      <c r="D316" s="12"/>
      <c r="E316" s="6"/>
      <c r="F316" s="6"/>
    </row>
    <row r="317" spans="1:6" x14ac:dyDescent="0.3">
      <c r="A317" s="23">
        <f t="shared" si="19"/>
        <v>37</v>
      </c>
      <c r="B317" s="41"/>
      <c r="C317" s="2" t="s">
        <v>8</v>
      </c>
      <c r="D317" s="12">
        <v>11630177</v>
      </c>
      <c r="E317" s="46">
        <f>SUM(12113464-483287)</f>
        <v>11630177</v>
      </c>
      <c r="F317" s="6"/>
    </row>
    <row r="318" spans="1:6" x14ac:dyDescent="0.3">
      <c r="A318" s="23">
        <f t="shared" si="19"/>
        <v>38</v>
      </c>
      <c r="B318" s="41"/>
      <c r="C318" s="2" t="s">
        <v>9</v>
      </c>
      <c r="D318" s="12">
        <f>SUM(5232073-500000)</f>
        <v>4732073</v>
      </c>
      <c r="E318" s="46">
        <f>SUM(5472247-240174)</f>
        <v>5232073</v>
      </c>
      <c r="F318" s="30"/>
    </row>
    <row r="319" spans="1:6" x14ac:dyDescent="0.3">
      <c r="A319" s="23">
        <f t="shared" si="19"/>
        <v>39</v>
      </c>
      <c r="B319" s="41"/>
      <c r="C319" s="2" t="s">
        <v>10</v>
      </c>
      <c r="D319" s="12">
        <v>518832</v>
      </c>
      <c r="E319" s="46">
        <f>SUM(808079-289247)</f>
        <v>518832</v>
      </c>
      <c r="F319" s="6"/>
    </row>
    <row r="320" spans="1:6" x14ac:dyDescent="0.3">
      <c r="A320" s="23">
        <f t="shared" si="19"/>
        <v>40</v>
      </c>
      <c r="B320" s="41"/>
      <c r="C320" s="2" t="s">
        <v>11</v>
      </c>
      <c r="D320" s="12">
        <f>SUM(6397223+3024489-1000000)</f>
        <v>8421712</v>
      </c>
      <c r="E320" s="46">
        <f>SUM(7603696-1206473)</f>
        <v>6397223</v>
      </c>
      <c r="F320" s="6"/>
    </row>
    <row r="321" spans="1:299" x14ac:dyDescent="0.3">
      <c r="A321" s="23">
        <f t="shared" si="19"/>
        <v>41</v>
      </c>
      <c r="B321" s="41"/>
      <c r="C321" s="2" t="s">
        <v>12</v>
      </c>
      <c r="D321" s="12">
        <v>63000</v>
      </c>
      <c r="E321" s="46">
        <v>63000</v>
      </c>
      <c r="F321" s="6"/>
    </row>
    <row r="322" spans="1:299" x14ac:dyDescent="0.3">
      <c r="A322" s="23">
        <f t="shared" si="19"/>
        <v>42</v>
      </c>
      <c r="B322" s="41"/>
      <c r="C322" s="34" t="s">
        <v>175</v>
      </c>
      <c r="D322" s="36">
        <f>SUM(D317:D321)</f>
        <v>25365794</v>
      </c>
      <c r="E322" s="46">
        <f>SUM(E317:E321)</f>
        <v>23841305</v>
      </c>
      <c r="F322" s="6"/>
    </row>
    <row r="323" spans="1:299" x14ac:dyDescent="0.3">
      <c r="A323" s="23">
        <f t="shared" si="19"/>
        <v>43</v>
      </c>
      <c r="B323" s="41"/>
      <c r="C323" s="2" t="s">
        <v>176</v>
      </c>
      <c r="D323" s="12">
        <v>171900</v>
      </c>
      <c r="E323" s="46">
        <v>171900</v>
      </c>
      <c r="F323" s="6"/>
    </row>
    <row r="324" spans="1:299" x14ac:dyDescent="0.3">
      <c r="A324" s="23">
        <f t="shared" si="19"/>
        <v>44</v>
      </c>
      <c r="B324" s="41"/>
      <c r="C324" s="2" t="s">
        <v>177</v>
      </c>
      <c r="D324" s="12">
        <v>186225</v>
      </c>
      <c r="E324" s="46">
        <v>186225</v>
      </c>
      <c r="F324" s="6"/>
    </row>
    <row r="325" spans="1:299" x14ac:dyDescent="0.3">
      <c r="A325" s="23">
        <f t="shared" si="19"/>
        <v>45</v>
      </c>
      <c r="B325" s="41"/>
      <c r="C325" s="2" t="s">
        <v>178</v>
      </c>
      <c r="D325" s="12">
        <v>44886</v>
      </c>
      <c r="E325" s="46">
        <v>44886</v>
      </c>
      <c r="F325" s="6"/>
    </row>
    <row r="326" spans="1:299" x14ac:dyDescent="0.3">
      <c r="A326" s="23">
        <f t="shared" si="19"/>
        <v>46</v>
      </c>
      <c r="B326" s="41"/>
      <c r="C326" s="2" t="s">
        <v>179</v>
      </c>
      <c r="D326" s="13">
        <v>75000</v>
      </c>
      <c r="E326" s="46"/>
      <c r="F326" s="6"/>
    </row>
    <row r="327" spans="1:299" x14ac:dyDescent="0.3">
      <c r="A327" s="23">
        <f t="shared" si="19"/>
        <v>47</v>
      </c>
      <c r="B327" s="41"/>
      <c r="C327" s="2" t="s">
        <v>180</v>
      </c>
      <c r="D327" s="12">
        <v>304098</v>
      </c>
      <c r="E327" s="46">
        <v>304098</v>
      </c>
      <c r="F327" s="6"/>
    </row>
    <row r="328" spans="1:299" x14ac:dyDescent="0.3">
      <c r="A328" s="23">
        <f t="shared" si="19"/>
        <v>48</v>
      </c>
      <c r="B328" s="41"/>
      <c r="C328" s="2" t="s">
        <v>181</v>
      </c>
      <c r="D328" s="12">
        <v>95501</v>
      </c>
      <c r="E328" s="46">
        <v>95501</v>
      </c>
      <c r="F328" s="6"/>
    </row>
    <row r="329" spans="1:299" x14ac:dyDescent="0.3">
      <c r="A329" s="23">
        <f t="shared" ref="A329:A347" si="20">ROW(A1)</f>
        <v>1</v>
      </c>
      <c r="B329" s="41"/>
      <c r="C329" s="2" t="s">
        <v>182</v>
      </c>
      <c r="D329" s="12">
        <v>504240</v>
      </c>
      <c r="E329" s="46">
        <v>504240</v>
      </c>
      <c r="F329" s="6"/>
    </row>
    <row r="330" spans="1:299" x14ac:dyDescent="0.3">
      <c r="A330" s="23">
        <f t="shared" si="20"/>
        <v>2</v>
      </c>
      <c r="B330" s="41"/>
      <c r="C330" s="2" t="s">
        <v>183</v>
      </c>
      <c r="D330" s="12">
        <v>846078</v>
      </c>
      <c r="E330" s="46">
        <v>846078</v>
      </c>
      <c r="F330" s="6"/>
    </row>
    <row r="331" spans="1:299" x14ac:dyDescent="0.3">
      <c r="A331" s="23">
        <f t="shared" si="20"/>
        <v>3</v>
      </c>
      <c r="B331" s="41"/>
      <c r="C331" s="2" t="s">
        <v>184</v>
      </c>
      <c r="D331" s="12">
        <v>66253</v>
      </c>
      <c r="E331" s="46">
        <v>66253</v>
      </c>
      <c r="F331" s="28">
        <f>SUM(E323:E331)</f>
        <v>2219181</v>
      </c>
      <c r="G331" s="52">
        <f>SUM(D323:D332)</f>
        <v>2557181</v>
      </c>
    </row>
    <row r="332" spans="1:299" x14ac:dyDescent="0.3">
      <c r="A332" s="23">
        <f t="shared" si="20"/>
        <v>4</v>
      </c>
      <c r="B332" s="41"/>
      <c r="C332" s="2" t="s">
        <v>185</v>
      </c>
      <c r="D332" s="12">
        <v>263000</v>
      </c>
      <c r="E332" s="46"/>
      <c r="F332" s="28" t="s">
        <v>186</v>
      </c>
    </row>
    <row r="333" spans="1:299" s="32" customFormat="1" x14ac:dyDescent="0.3">
      <c r="A333" s="23">
        <f t="shared" si="20"/>
        <v>5</v>
      </c>
      <c r="B333" s="41"/>
      <c r="C333" s="34" t="s">
        <v>187</v>
      </c>
      <c r="D333" s="36">
        <f>SUM(D322,D323:D332)</f>
        <v>27922975</v>
      </c>
      <c r="E333" s="46">
        <f>SUM(E322,E323:E331)</f>
        <v>26060486</v>
      </c>
      <c r="F333" s="6"/>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5"/>
      <c r="CB333" s="5"/>
      <c r="CC333" s="5"/>
      <c r="CD333" s="5"/>
      <c r="CE333" s="5"/>
      <c r="CF333" s="5"/>
      <c r="CG333" s="5"/>
      <c r="CH333" s="5"/>
      <c r="CI333" s="5"/>
      <c r="CJ333" s="5"/>
      <c r="CK333" s="5"/>
      <c r="CL333" s="5"/>
      <c r="CM333" s="5"/>
      <c r="CN333" s="5"/>
      <c r="CO333" s="5"/>
      <c r="CP333" s="5"/>
      <c r="CQ333" s="5"/>
      <c r="CR333" s="5"/>
      <c r="CS333" s="5"/>
      <c r="CT333" s="5"/>
      <c r="CU333" s="5"/>
      <c r="CV333" s="5"/>
      <c r="CW333" s="5"/>
      <c r="CX333" s="5"/>
      <c r="CY333" s="5"/>
      <c r="CZ333" s="5"/>
      <c r="DA333" s="5"/>
      <c r="DB333" s="5"/>
      <c r="DC333" s="5"/>
      <c r="DD333" s="5"/>
      <c r="DE333" s="5"/>
      <c r="DF333" s="5"/>
      <c r="DG333" s="5"/>
      <c r="DH333" s="5"/>
      <c r="DI333" s="5"/>
      <c r="DJ333" s="5"/>
      <c r="DK333" s="5"/>
      <c r="DL333" s="5"/>
      <c r="DM333" s="5"/>
      <c r="DN333" s="5"/>
      <c r="DO333" s="5"/>
      <c r="DP333" s="5"/>
      <c r="DQ333" s="5"/>
      <c r="DR333" s="5"/>
      <c r="DS333" s="5"/>
      <c r="DT333" s="5"/>
      <c r="DU333" s="5"/>
      <c r="DV333" s="5"/>
      <c r="DW333" s="5"/>
      <c r="DX333" s="5"/>
      <c r="DY333" s="5"/>
      <c r="DZ333" s="5"/>
      <c r="EA333" s="5"/>
      <c r="EB333" s="5"/>
      <c r="EC333" s="5"/>
      <c r="ED333" s="5"/>
      <c r="EE333" s="5"/>
      <c r="EF333" s="5"/>
      <c r="EG333" s="5"/>
      <c r="EH333" s="5"/>
      <c r="EI333" s="5"/>
      <c r="EJ333" s="5"/>
      <c r="EK333" s="5"/>
      <c r="EL333" s="5"/>
      <c r="EM333" s="5"/>
      <c r="EN333" s="5"/>
      <c r="EO333" s="5"/>
      <c r="EP333" s="5"/>
      <c r="EQ333" s="5"/>
      <c r="ER333" s="5"/>
      <c r="ES333" s="5"/>
      <c r="ET333" s="5"/>
      <c r="EU333" s="5"/>
      <c r="EV333" s="5"/>
      <c r="EW333" s="5"/>
      <c r="EX333" s="5"/>
      <c r="EY333" s="5"/>
      <c r="EZ333" s="5"/>
      <c r="FA333" s="5"/>
      <c r="FB333" s="5"/>
      <c r="FC333" s="5"/>
      <c r="FD333" s="5"/>
      <c r="FE333" s="5"/>
      <c r="FF333" s="5"/>
      <c r="FG333" s="5"/>
      <c r="FH333" s="5"/>
      <c r="FI333" s="5"/>
      <c r="FJ333" s="5"/>
      <c r="FK333" s="5"/>
      <c r="FL333" s="5"/>
      <c r="FM333" s="5"/>
      <c r="FN333" s="5"/>
      <c r="FO333" s="5"/>
      <c r="FP333" s="5"/>
      <c r="FQ333" s="5"/>
      <c r="FR333" s="5"/>
      <c r="FS333" s="5"/>
      <c r="FT333" s="5"/>
      <c r="FU333" s="5"/>
      <c r="FV333" s="5"/>
      <c r="FW333" s="5"/>
      <c r="FX333" s="5"/>
      <c r="FY333" s="5"/>
      <c r="FZ333" s="5"/>
      <c r="GA333" s="5"/>
      <c r="GB333" s="5"/>
      <c r="GC333" s="5"/>
      <c r="GD333" s="5"/>
      <c r="GE333" s="5"/>
      <c r="GF333" s="5"/>
      <c r="GG333" s="5"/>
      <c r="GH333" s="5"/>
      <c r="GI333" s="5"/>
      <c r="GJ333" s="5"/>
      <c r="GK333" s="5"/>
      <c r="GL333" s="5"/>
      <c r="GM333" s="5"/>
      <c r="GN333" s="5"/>
      <c r="GO333" s="5"/>
      <c r="GP333" s="5"/>
      <c r="GQ333" s="5"/>
      <c r="GR333" s="5"/>
      <c r="GS333" s="5"/>
      <c r="GT333" s="5"/>
      <c r="GU333" s="5"/>
      <c r="GV333" s="5"/>
      <c r="GW333" s="5"/>
      <c r="GX333" s="5"/>
      <c r="GY333" s="5"/>
      <c r="GZ333" s="5"/>
      <c r="HA333" s="5"/>
      <c r="HB333" s="5"/>
      <c r="HC333" s="5"/>
      <c r="HD333" s="5"/>
      <c r="HE333" s="5"/>
      <c r="HF333" s="5"/>
      <c r="HG333" s="5"/>
      <c r="HH333" s="5"/>
      <c r="HI333" s="5"/>
      <c r="HJ333" s="5"/>
      <c r="HK333" s="5"/>
      <c r="HL333" s="5"/>
      <c r="HM333" s="5"/>
      <c r="HN333" s="5"/>
      <c r="HO333" s="5"/>
      <c r="HP333" s="5"/>
      <c r="HQ333" s="5"/>
      <c r="HR333" s="5"/>
      <c r="HS333" s="5"/>
      <c r="HT333" s="5"/>
      <c r="HU333" s="5"/>
      <c r="HV333" s="5"/>
      <c r="HW333" s="5"/>
      <c r="HX333" s="5"/>
      <c r="HY333" s="5"/>
      <c r="HZ333" s="5"/>
      <c r="IA333" s="5"/>
      <c r="IB333" s="5"/>
      <c r="IC333" s="5"/>
      <c r="ID333" s="5"/>
      <c r="IE333" s="5"/>
      <c r="IF333" s="5"/>
      <c r="IG333" s="5"/>
      <c r="IH333" s="5"/>
      <c r="II333" s="5"/>
      <c r="IJ333" s="5"/>
      <c r="IK333" s="5"/>
      <c r="IL333" s="5"/>
      <c r="IM333" s="5"/>
      <c r="IN333" s="5"/>
      <c r="IO333" s="5"/>
      <c r="IP333" s="5"/>
      <c r="IQ333" s="5"/>
      <c r="IR333" s="5"/>
      <c r="IS333" s="5"/>
      <c r="IT333" s="5"/>
      <c r="IU333" s="5"/>
      <c r="IV333" s="5"/>
      <c r="IW333" s="5"/>
      <c r="IX333" s="5"/>
      <c r="IY333" s="5"/>
      <c r="IZ333" s="5"/>
      <c r="JA333" s="5"/>
      <c r="JB333" s="5"/>
      <c r="JC333" s="5"/>
      <c r="JD333" s="5"/>
      <c r="JE333" s="5"/>
      <c r="JF333" s="5"/>
      <c r="JG333" s="5"/>
      <c r="JH333" s="5"/>
      <c r="JI333" s="5"/>
      <c r="JJ333" s="5"/>
      <c r="JK333" s="5"/>
      <c r="JL333" s="5"/>
      <c r="JM333" s="5"/>
      <c r="JN333" s="5"/>
      <c r="JO333" s="5"/>
      <c r="JP333" s="5"/>
      <c r="JQ333" s="5"/>
      <c r="JR333" s="5"/>
      <c r="JS333" s="5"/>
      <c r="JT333" s="5"/>
      <c r="JU333" s="5"/>
      <c r="JV333" s="5"/>
      <c r="JW333" s="5"/>
      <c r="JX333" s="5"/>
      <c r="JY333" s="5"/>
      <c r="JZ333" s="5"/>
      <c r="KA333" s="5"/>
      <c r="KB333" s="5"/>
      <c r="KC333" s="5"/>
      <c r="KD333" s="5"/>
      <c r="KE333" s="5"/>
      <c r="KF333" s="5"/>
      <c r="KG333" s="5"/>
      <c r="KH333" s="5"/>
      <c r="KI333" s="5"/>
      <c r="KJ333" s="5"/>
      <c r="KK333" s="5"/>
      <c r="KL333" s="5"/>
      <c r="KM333" s="5"/>
    </row>
    <row r="334" spans="1:299" x14ac:dyDescent="0.3">
      <c r="A334" s="23">
        <f t="shared" si="20"/>
        <v>6</v>
      </c>
      <c r="B334" s="41"/>
      <c r="C334" s="14"/>
      <c r="D334" s="12"/>
      <c r="E334" s="6"/>
      <c r="F334" s="6"/>
    </row>
    <row r="335" spans="1:299" x14ac:dyDescent="0.3">
      <c r="A335" s="23">
        <f t="shared" si="20"/>
        <v>7</v>
      </c>
      <c r="B335" s="41" t="s">
        <v>188</v>
      </c>
      <c r="C335" s="2" t="s">
        <v>189</v>
      </c>
      <c r="D335" s="12"/>
      <c r="E335" s="6"/>
      <c r="F335" s="6"/>
    </row>
    <row r="336" spans="1:299" x14ac:dyDescent="0.3">
      <c r="A336" s="23">
        <f t="shared" si="20"/>
        <v>8</v>
      </c>
      <c r="B336" s="41"/>
      <c r="C336" s="2" t="s">
        <v>8</v>
      </c>
      <c r="D336" s="12">
        <f>SUM(19929312-1543727.25)</f>
        <v>18385584.75</v>
      </c>
      <c r="E336" s="46">
        <v>19929312</v>
      </c>
      <c r="F336" s="6"/>
    </row>
    <row r="337" spans="1:6" x14ac:dyDescent="0.3">
      <c r="A337" s="23">
        <f t="shared" si="20"/>
        <v>9</v>
      </c>
      <c r="B337" s="41"/>
      <c r="C337" s="2" t="s">
        <v>9</v>
      </c>
      <c r="D337" s="12">
        <f>SUM(9904702-500000-334268.45)</f>
        <v>9070433.5500000007</v>
      </c>
      <c r="E337" s="46">
        <v>9904702</v>
      </c>
      <c r="F337" s="6"/>
    </row>
    <row r="338" spans="1:6" x14ac:dyDescent="0.3">
      <c r="A338" s="23">
        <f t="shared" si="20"/>
        <v>10</v>
      </c>
      <c r="B338" s="41"/>
      <c r="C338" s="9" t="s">
        <v>23</v>
      </c>
      <c r="D338" s="12">
        <f>SUM(1334412.44)</f>
        <v>1334412.44</v>
      </c>
      <c r="E338" s="46">
        <v>0</v>
      </c>
      <c r="F338" s="6"/>
    </row>
    <row r="339" spans="1:6" x14ac:dyDescent="0.3">
      <c r="A339" s="23">
        <f t="shared" si="20"/>
        <v>11</v>
      </c>
      <c r="B339" s="41"/>
      <c r="C339" s="9" t="s">
        <v>24</v>
      </c>
      <c r="D339" s="12">
        <f>SUM(676531.95)</f>
        <v>676531.95</v>
      </c>
      <c r="E339" s="46">
        <v>0</v>
      </c>
      <c r="F339" s="6"/>
    </row>
    <row r="340" spans="1:6" x14ac:dyDescent="0.3">
      <c r="A340" s="23">
        <f t="shared" si="20"/>
        <v>12</v>
      </c>
      <c r="B340" s="41"/>
      <c r="C340" s="2" t="s">
        <v>10</v>
      </c>
      <c r="D340" s="12">
        <v>1234547</v>
      </c>
      <c r="E340" s="46">
        <v>1234547</v>
      </c>
      <c r="F340" s="6"/>
    </row>
    <row r="341" spans="1:6" x14ac:dyDescent="0.3">
      <c r="A341" s="23">
        <f t="shared" si="20"/>
        <v>13</v>
      </c>
      <c r="B341" s="41"/>
      <c r="C341" s="2" t="s">
        <v>11</v>
      </c>
      <c r="D341" s="12">
        <f>SUM(34129490+500000+3294292-1000000)</f>
        <v>36923782</v>
      </c>
      <c r="E341" s="46">
        <f>SUM(34754491-(F347+80000))</f>
        <v>34129491</v>
      </c>
      <c r="F341" s="6"/>
    </row>
    <row r="342" spans="1:6" x14ac:dyDescent="0.3">
      <c r="A342" s="23">
        <f t="shared" si="20"/>
        <v>14</v>
      </c>
      <c r="B342" s="41"/>
      <c r="C342" s="2" t="s">
        <v>12</v>
      </c>
      <c r="D342" s="12">
        <f>SUM(2370000-70000)</f>
        <v>2300000</v>
      </c>
      <c r="E342" s="46">
        <v>2370000</v>
      </c>
      <c r="F342" s="6"/>
    </row>
    <row r="343" spans="1:6" x14ac:dyDescent="0.3">
      <c r="A343" s="23">
        <f t="shared" si="20"/>
        <v>15</v>
      </c>
      <c r="B343" s="41"/>
      <c r="C343" s="2" t="s">
        <v>44</v>
      </c>
      <c r="D343" s="12">
        <v>94000</v>
      </c>
      <c r="E343" s="46">
        <v>94000</v>
      </c>
      <c r="F343" s="6"/>
    </row>
    <row r="344" spans="1:6" x14ac:dyDescent="0.3">
      <c r="A344" s="23">
        <f t="shared" si="20"/>
        <v>16</v>
      </c>
      <c r="B344" s="41"/>
      <c r="C344" s="34" t="s">
        <v>190</v>
      </c>
      <c r="D344" s="36">
        <f>SUM(D336:D343)</f>
        <v>70019291.689999998</v>
      </c>
      <c r="E344" s="46">
        <f>SUM(E336:E343)</f>
        <v>67662052</v>
      </c>
      <c r="F344" s="6"/>
    </row>
    <row r="345" spans="1:6" x14ac:dyDescent="0.3">
      <c r="A345" s="23">
        <f t="shared" si="20"/>
        <v>17</v>
      </c>
      <c r="B345" s="41"/>
      <c r="C345" s="2" t="s">
        <v>191</v>
      </c>
      <c r="D345" s="12">
        <v>110000</v>
      </c>
      <c r="E345" s="46"/>
      <c r="F345" s="6"/>
    </row>
    <row r="346" spans="1:6" x14ac:dyDescent="0.3">
      <c r="A346" s="23">
        <f t="shared" si="20"/>
        <v>18</v>
      </c>
      <c r="B346" s="41"/>
      <c r="C346" s="2" t="s">
        <v>192</v>
      </c>
      <c r="D346" s="11">
        <v>45000</v>
      </c>
      <c r="E346" s="46">
        <v>45000</v>
      </c>
      <c r="F346" s="6"/>
    </row>
    <row r="347" spans="1:6" x14ac:dyDescent="0.3">
      <c r="A347" s="23">
        <f t="shared" si="20"/>
        <v>19</v>
      </c>
      <c r="B347" s="41"/>
      <c r="C347" s="2" t="s">
        <v>193</v>
      </c>
      <c r="D347" s="11">
        <v>500000</v>
      </c>
      <c r="E347" s="46">
        <v>500000</v>
      </c>
      <c r="F347" s="47">
        <f>SUM(E345:E347)</f>
        <v>545000</v>
      </c>
    </row>
    <row r="348" spans="1:6" x14ac:dyDescent="0.3">
      <c r="A348" s="23">
        <f t="shared" ref="A348:A354" si="21">ROW(A21)</f>
        <v>21</v>
      </c>
      <c r="B348" s="41"/>
      <c r="C348" s="34" t="s">
        <v>194</v>
      </c>
      <c r="D348" s="36">
        <f>SUM(D344,D345:D347)</f>
        <v>70674291.689999998</v>
      </c>
      <c r="E348" s="46">
        <f>SUM(E344,E345:E347)</f>
        <v>68207052</v>
      </c>
      <c r="F348" s="6"/>
    </row>
    <row r="349" spans="1:6" x14ac:dyDescent="0.3">
      <c r="A349" s="23">
        <f t="shared" si="21"/>
        <v>22</v>
      </c>
      <c r="B349" s="41"/>
      <c r="C349" s="14"/>
      <c r="D349" s="12"/>
      <c r="E349" s="6"/>
      <c r="F349" s="6"/>
    </row>
    <row r="350" spans="1:6" x14ac:dyDescent="0.3">
      <c r="A350" s="23">
        <f t="shared" si="21"/>
        <v>23</v>
      </c>
      <c r="B350" s="41" t="s">
        <v>195</v>
      </c>
      <c r="C350" s="2" t="s">
        <v>196</v>
      </c>
      <c r="D350" s="12"/>
      <c r="E350" s="6"/>
      <c r="F350" s="6"/>
    </row>
    <row r="351" spans="1:6" x14ac:dyDescent="0.3">
      <c r="A351" s="23">
        <f t="shared" si="21"/>
        <v>24</v>
      </c>
      <c r="B351" s="41"/>
      <c r="C351" s="2" t="s">
        <v>8</v>
      </c>
      <c r="D351" s="12">
        <f>SUM(3006707+175949.39)</f>
        <v>3182656.39</v>
      </c>
      <c r="E351" s="46">
        <f>SUM(3182657-175950)</f>
        <v>3006707</v>
      </c>
      <c r="F351" s="6"/>
    </row>
    <row r="352" spans="1:6" x14ac:dyDescent="0.3">
      <c r="A352" s="23">
        <f t="shared" si="21"/>
        <v>25</v>
      </c>
      <c r="B352" s="41"/>
      <c r="C352" s="2" t="s">
        <v>9</v>
      </c>
      <c r="D352" s="12">
        <f>SUM(1500629+83073.97)</f>
        <v>1583702.97</v>
      </c>
      <c r="E352" s="46">
        <f>SUM(1583701-83072)</f>
        <v>1500629</v>
      </c>
      <c r="F352" s="6"/>
    </row>
    <row r="353" spans="1:6" x14ac:dyDescent="0.3">
      <c r="A353" s="23">
        <f t="shared" si="21"/>
        <v>26</v>
      </c>
      <c r="B353" s="41"/>
      <c r="C353" s="2" t="s">
        <v>10</v>
      </c>
      <c r="D353" s="12">
        <v>121999</v>
      </c>
      <c r="E353" s="46">
        <f>SUM(145000-23001)</f>
        <v>121999</v>
      </c>
      <c r="F353" s="6"/>
    </row>
    <row r="354" spans="1:6" x14ac:dyDescent="0.3">
      <c r="A354" s="23">
        <f t="shared" si="21"/>
        <v>27</v>
      </c>
      <c r="B354" s="41"/>
      <c r="C354" s="2" t="s">
        <v>11</v>
      </c>
      <c r="D354" s="12">
        <v>686881</v>
      </c>
      <c r="E354" s="46">
        <f>SUM(1325107-638226)</f>
        <v>686881</v>
      </c>
      <c r="F354" s="6"/>
    </row>
    <row r="355" spans="1:6" x14ac:dyDescent="0.3">
      <c r="A355" s="23">
        <f t="shared" ref="A355:A375" si="22">ROW(A28)</f>
        <v>28</v>
      </c>
      <c r="B355" s="41"/>
      <c r="C355" s="2" t="s">
        <v>12</v>
      </c>
      <c r="D355" s="12">
        <f>SUM(463000+25000)</f>
        <v>488000</v>
      </c>
      <c r="E355" s="46">
        <f>SUM(489000-26000)</f>
        <v>463000</v>
      </c>
      <c r="F355" s="6"/>
    </row>
    <row r="356" spans="1:6" x14ac:dyDescent="0.3">
      <c r="A356" s="23">
        <f t="shared" si="22"/>
        <v>29</v>
      </c>
      <c r="B356" s="41"/>
      <c r="C356" s="34" t="s">
        <v>197</v>
      </c>
      <c r="D356" s="36">
        <f>SUM(D351:D355)</f>
        <v>6063239.3600000003</v>
      </c>
      <c r="E356" s="46">
        <f>SUM(E351:E355)</f>
        <v>5779216</v>
      </c>
      <c r="F356" s="6"/>
    </row>
    <row r="357" spans="1:6" x14ac:dyDescent="0.3">
      <c r="A357" s="23">
        <f t="shared" si="22"/>
        <v>30</v>
      </c>
      <c r="B357" s="41"/>
      <c r="C357" s="2" t="s">
        <v>198</v>
      </c>
      <c r="D357" s="12">
        <v>100000</v>
      </c>
      <c r="E357" s="46">
        <v>100000</v>
      </c>
      <c r="F357" s="6"/>
    </row>
    <row r="358" spans="1:6" x14ac:dyDescent="0.3">
      <c r="A358" s="23">
        <f t="shared" si="22"/>
        <v>31</v>
      </c>
      <c r="B358" s="41"/>
      <c r="C358" s="2" t="s">
        <v>199</v>
      </c>
      <c r="D358" s="12">
        <v>100000</v>
      </c>
      <c r="E358" s="46">
        <v>100000</v>
      </c>
      <c r="F358" s="6"/>
    </row>
    <row r="359" spans="1:6" x14ac:dyDescent="0.3">
      <c r="A359" s="23">
        <f t="shared" si="22"/>
        <v>32</v>
      </c>
      <c r="B359" s="9" t="s">
        <v>0</v>
      </c>
      <c r="C359" s="2" t="s">
        <v>200</v>
      </c>
      <c r="D359" s="16">
        <v>346248</v>
      </c>
      <c r="E359" s="46">
        <v>346248</v>
      </c>
      <c r="F359" s="6"/>
    </row>
    <row r="360" spans="1:6" x14ac:dyDescent="0.3">
      <c r="A360" s="23">
        <f t="shared" si="22"/>
        <v>33</v>
      </c>
      <c r="B360" s="41"/>
      <c r="C360" s="2" t="s">
        <v>201</v>
      </c>
      <c r="D360" s="12">
        <v>400000</v>
      </c>
      <c r="E360" s="46">
        <v>400000</v>
      </c>
      <c r="F360" s="47">
        <f>SUM(E357:E360)</f>
        <v>946248</v>
      </c>
    </row>
    <row r="361" spans="1:6" x14ac:dyDescent="0.3">
      <c r="A361" s="23">
        <f t="shared" si="22"/>
        <v>34</v>
      </c>
      <c r="B361" s="41"/>
      <c r="C361" s="34" t="s">
        <v>202</v>
      </c>
      <c r="D361" s="36">
        <f>SUM(D356,D357:D360)</f>
        <v>7009487.3600000003</v>
      </c>
      <c r="E361" s="46">
        <f>SUM(E356,E357:E360)</f>
        <v>6725464</v>
      </c>
      <c r="F361" s="6"/>
    </row>
    <row r="362" spans="1:6" x14ac:dyDescent="0.3">
      <c r="A362" s="23">
        <f t="shared" si="22"/>
        <v>35</v>
      </c>
      <c r="B362" s="41"/>
      <c r="C362" s="2"/>
      <c r="D362" s="12"/>
      <c r="E362" s="6"/>
      <c r="F362" s="6"/>
    </row>
    <row r="363" spans="1:6" x14ac:dyDescent="0.3">
      <c r="A363" s="23">
        <f t="shared" si="22"/>
        <v>36</v>
      </c>
      <c r="B363" s="41" t="s">
        <v>203</v>
      </c>
      <c r="C363" s="2" t="s">
        <v>204</v>
      </c>
      <c r="D363" s="12"/>
      <c r="E363" s="6"/>
      <c r="F363" s="6"/>
    </row>
    <row r="364" spans="1:6" x14ac:dyDescent="0.3">
      <c r="A364" s="23">
        <f t="shared" si="22"/>
        <v>37</v>
      </c>
      <c r="B364" s="41"/>
      <c r="C364" s="2" t="s">
        <v>8</v>
      </c>
      <c r="D364" s="12">
        <v>2663595</v>
      </c>
      <c r="E364" s="4">
        <f>SUM(2824595-161000)</f>
        <v>2663595</v>
      </c>
      <c r="F364" s="6"/>
    </row>
    <row r="365" spans="1:6" x14ac:dyDescent="0.3">
      <c r="A365" s="23">
        <f t="shared" si="22"/>
        <v>38</v>
      </c>
      <c r="B365" s="41"/>
      <c r="C365" s="2" t="s">
        <v>9</v>
      </c>
      <c r="D365" s="12">
        <v>1427818</v>
      </c>
      <c r="E365" s="4">
        <f>SUM(1510104-82286)</f>
        <v>1427818</v>
      </c>
      <c r="F365" s="6"/>
    </row>
    <row r="366" spans="1:6" x14ac:dyDescent="0.3">
      <c r="A366" s="23">
        <f t="shared" si="22"/>
        <v>39</v>
      </c>
      <c r="B366" s="41"/>
      <c r="C366" s="2" t="s">
        <v>10</v>
      </c>
      <c r="D366" s="12">
        <v>262260</v>
      </c>
      <c r="E366" s="4">
        <v>262260</v>
      </c>
      <c r="F366" s="6"/>
    </row>
    <row r="367" spans="1:6" x14ac:dyDescent="0.3">
      <c r="A367" s="23">
        <f t="shared" si="22"/>
        <v>40</v>
      </c>
      <c r="B367" s="41"/>
      <c r="C367" s="2" t="s">
        <v>11</v>
      </c>
      <c r="D367" s="12">
        <v>570930</v>
      </c>
      <c r="E367" s="4">
        <v>570630</v>
      </c>
      <c r="F367" s="6"/>
    </row>
    <row r="368" spans="1:6" x14ac:dyDescent="0.3">
      <c r="A368" s="23">
        <f t="shared" si="22"/>
        <v>41</v>
      </c>
      <c r="B368" s="41"/>
      <c r="C368" s="2" t="s">
        <v>12</v>
      </c>
      <c r="D368" s="12">
        <v>160000</v>
      </c>
      <c r="E368" s="4">
        <v>160000</v>
      </c>
      <c r="F368" s="6"/>
    </row>
    <row r="369" spans="1:6" x14ac:dyDescent="0.3">
      <c r="A369" s="23">
        <f t="shared" si="22"/>
        <v>42</v>
      </c>
      <c r="B369" s="41"/>
      <c r="C369" s="34" t="s">
        <v>205</v>
      </c>
      <c r="D369" s="36">
        <f>SUM(D364:D368)</f>
        <v>5084603</v>
      </c>
      <c r="E369" s="4">
        <f>SUM(E364:E368)</f>
        <v>5084303</v>
      </c>
      <c r="F369" s="6"/>
    </row>
    <row r="370" spans="1:6" x14ac:dyDescent="0.3">
      <c r="A370" s="23">
        <f t="shared" si="22"/>
        <v>43</v>
      </c>
      <c r="B370" s="41"/>
      <c r="C370" s="2" t="s">
        <v>206</v>
      </c>
      <c r="D370" s="11">
        <f>SUM(243286-143286)</f>
        <v>100000</v>
      </c>
      <c r="E370" s="4">
        <v>243286</v>
      </c>
      <c r="F370" s="6"/>
    </row>
    <row r="371" spans="1:6" s="32" customFormat="1" x14ac:dyDescent="0.3">
      <c r="A371" s="23">
        <f t="shared" si="22"/>
        <v>44</v>
      </c>
      <c r="B371" s="41"/>
      <c r="C371" s="34" t="s">
        <v>207</v>
      </c>
      <c r="D371" s="36">
        <f>SUM(D369,D370:D370)</f>
        <v>5184603</v>
      </c>
      <c r="E371" s="49">
        <f>SUM(E369,E370:E370)</f>
        <v>5327589</v>
      </c>
      <c r="F371" s="31"/>
    </row>
    <row r="372" spans="1:6" x14ac:dyDescent="0.3">
      <c r="A372" s="23">
        <f t="shared" si="22"/>
        <v>45</v>
      </c>
      <c r="B372" s="41"/>
      <c r="C372" s="14"/>
      <c r="D372" s="12"/>
      <c r="E372" s="6"/>
      <c r="F372" s="6"/>
    </row>
    <row r="373" spans="1:6" x14ac:dyDescent="0.3">
      <c r="A373" s="23">
        <f t="shared" si="22"/>
        <v>46</v>
      </c>
      <c r="B373" s="41" t="s">
        <v>208</v>
      </c>
      <c r="C373" s="2" t="s">
        <v>209</v>
      </c>
      <c r="D373" s="12"/>
      <c r="E373" s="6"/>
      <c r="F373" s="6"/>
    </row>
    <row r="374" spans="1:6" x14ac:dyDescent="0.3">
      <c r="A374" s="23">
        <f t="shared" si="22"/>
        <v>47</v>
      </c>
      <c r="B374" s="41"/>
      <c r="C374" s="2" t="s">
        <v>8</v>
      </c>
      <c r="D374" s="12">
        <v>4916980</v>
      </c>
      <c r="E374" s="4">
        <v>4916980</v>
      </c>
      <c r="F374" s="6"/>
    </row>
    <row r="375" spans="1:6" x14ac:dyDescent="0.3">
      <c r="A375" s="23">
        <f t="shared" si="22"/>
        <v>48</v>
      </c>
      <c r="B375" s="41"/>
      <c r="C375" s="2" t="s">
        <v>9</v>
      </c>
      <c r="D375" s="12">
        <v>2822209</v>
      </c>
      <c r="E375" s="4">
        <v>2822209</v>
      </c>
      <c r="F375" s="6"/>
    </row>
    <row r="376" spans="1:6" x14ac:dyDescent="0.3">
      <c r="A376" s="23">
        <f t="shared" ref="A376:A394" si="23">ROW(A1)</f>
        <v>1</v>
      </c>
      <c r="B376" s="41"/>
      <c r="C376" s="2" t="s">
        <v>10</v>
      </c>
      <c r="D376" s="12">
        <v>248945</v>
      </c>
      <c r="E376" s="4">
        <v>248945</v>
      </c>
      <c r="F376" s="6"/>
    </row>
    <row r="377" spans="1:6" x14ac:dyDescent="0.3">
      <c r="A377" s="23">
        <f t="shared" si="23"/>
        <v>2</v>
      </c>
      <c r="B377" s="41"/>
      <c r="C377" s="2" t="s">
        <v>11</v>
      </c>
      <c r="D377" s="12">
        <v>368906</v>
      </c>
      <c r="E377" s="4">
        <f>SUM(478906-110000)</f>
        <v>368906</v>
      </c>
      <c r="F377" s="6"/>
    </row>
    <row r="378" spans="1:6" x14ac:dyDescent="0.3">
      <c r="A378" s="23">
        <f t="shared" si="23"/>
        <v>3</v>
      </c>
      <c r="B378" s="41"/>
      <c r="C378" s="2" t="s">
        <v>12</v>
      </c>
      <c r="D378" s="12">
        <v>805000</v>
      </c>
      <c r="E378" s="4">
        <v>805000</v>
      </c>
      <c r="F378" s="6"/>
    </row>
    <row r="379" spans="1:6" x14ac:dyDescent="0.3">
      <c r="A379" s="23">
        <f t="shared" si="23"/>
        <v>4</v>
      </c>
      <c r="B379" s="41"/>
      <c r="C379" s="34" t="s">
        <v>210</v>
      </c>
      <c r="D379" s="36">
        <f>SUM(D374:D378)</f>
        <v>9162040</v>
      </c>
      <c r="E379" s="4">
        <f>SUM(E374:E378)</f>
        <v>9162040</v>
      </c>
      <c r="F379" s="6"/>
    </row>
    <row r="380" spans="1:6" x14ac:dyDescent="0.3">
      <c r="A380" s="23">
        <f t="shared" si="23"/>
        <v>5</v>
      </c>
      <c r="B380" s="41"/>
      <c r="C380" s="2" t="s">
        <v>211</v>
      </c>
      <c r="D380" s="11">
        <v>35000</v>
      </c>
      <c r="E380" s="4">
        <v>35000</v>
      </c>
      <c r="F380" s="6"/>
    </row>
    <row r="381" spans="1:6" x14ac:dyDescent="0.3">
      <c r="A381" s="23">
        <f t="shared" si="23"/>
        <v>6</v>
      </c>
      <c r="B381" s="41"/>
      <c r="C381" s="2" t="s">
        <v>212</v>
      </c>
      <c r="D381" s="11">
        <v>35000</v>
      </c>
      <c r="E381" s="4">
        <v>35000</v>
      </c>
      <c r="F381" s="6"/>
    </row>
    <row r="382" spans="1:6" x14ac:dyDescent="0.3">
      <c r="A382" s="23">
        <f t="shared" si="23"/>
        <v>7</v>
      </c>
      <c r="B382" s="41"/>
      <c r="C382" s="2" t="s">
        <v>213</v>
      </c>
      <c r="D382" s="11">
        <v>25000</v>
      </c>
      <c r="E382" s="4">
        <v>25000</v>
      </c>
      <c r="F382" s="6"/>
    </row>
    <row r="383" spans="1:6" x14ac:dyDescent="0.3">
      <c r="A383" s="23">
        <f t="shared" si="23"/>
        <v>8</v>
      </c>
      <c r="B383" s="41"/>
      <c r="C383" s="2" t="s">
        <v>214</v>
      </c>
      <c r="D383" s="11">
        <v>15000</v>
      </c>
      <c r="E383" s="4">
        <v>15000</v>
      </c>
      <c r="F383" s="6"/>
    </row>
    <row r="384" spans="1:6" x14ac:dyDescent="0.3">
      <c r="A384" s="23">
        <f t="shared" si="23"/>
        <v>9</v>
      </c>
      <c r="B384" s="41"/>
      <c r="C384" s="34" t="s">
        <v>215</v>
      </c>
      <c r="D384" s="36">
        <f>SUM(D379,D380:D383)</f>
        <v>9272040</v>
      </c>
      <c r="E384" s="28">
        <f>SUM(E379,E380:E383)</f>
        <v>9272040</v>
      </c>
      <c r="F384" s="6"/>
    </row>
    <row r="385" spans="1:7" x14ac:dyDescent="0.3">
      <c r="A385" s="23">
        <f t="shared" si="23"/>
        <v>10</v>
      </c>
      <c r="B385" s="41"/>
      <c r="C385" s="14"/>
      <c r="D385" s="12"/>
      <c r="E385" s="6"/>
      <c r="F385" s="6"/>
    </row>
    <row r="386" spans="1:7" x14ac:dyDescent="0.3">
      <c r="A386" s="23">
        <f t="shared" si="23"/>
        <v>11</v>
      </c>
      <c r="B386" s="41" t="s">
        <v>216</v>
      </c>
      <c r="C386" s="2" t="s">
        <v>217</v>
      </c>
      <c r="D386" s="12"/>
      <c r="E386" s="6"/>
      <c r="F386" s="6"/>
    </row>
    <row r="387" spans="1:7" x14ac:dyDescent="0.3">
      <c r="A387" s="23">
        <f t="shared" si="23"/>
        <v>12</v>
      </c>
      <c r="B387" s="41"/>
      <c r="C387" s="2" t="s">
        <v>8</v>
      </c>
      <c r="D387" s="12">
        <v>3349714</v>
      </c>
      <c r="E387" s="6"/>
      <c r="F387" s="6"/>
    </row>
    <row r="388" spans="1:7" x14ac:dyDescent="0.3">
      <c r="A388" s="23">
        <f t="shared" si="23"/>
        <v>13</v>
      </c>
      <c r="B388" s="41"/>
      <c r="C388" s="2" t="s">
        <v>9</v>
      </c>
      <c r="D388" s="12">
        <v>1645035</v>
      </c>
      <c r="E388" s="6"/>
      <c r="F388" s="6"/>
    </row>
    <row r="389" spans="1:7" x14ac:dyDescent="0.3">
      <c r="A389" s="23">
        <f t="shared" si="23"/>
        <v>14</v>
      </c>
      <c r="B389" s="41"/>
      <c r="C389" s="2" t="s">
        <v>218</v>
      </c>
      <c r="D389" s="12">
        <v>442500</v>
      </c>
      <c r="E389" s="6"/>
      <c r="F389" s="6"/>
    </row>
    <row r="390" spans="1:7" x14ac:dyDescent="0.3">
      <c r="A390" s="23">
        <f t="shared" si="23"/>
        <v>15</v>
      </c>
      <c r="B390" s="41"/>
      <c r="C390" s="2" t="s">
        <v>219</v>
      </c>
      <c r="D390" s="12">
        <v>221250</v>
      </c>
      <c r="E390" s="6"/>
      <c r="F390" s="6"/>
    </row>
    <row r="391" spans="1:7" x14ac:dyDescent="0.3">
      <c r="A391" s="23">
        <f t="shared" si="23"/>
        <v>16</v>
      </c>
      <c r="B391" s="41"/>
      <c r="C391" s="2" t="s">
        <v>10</v>
      </c>
      <c r="D391" s="12">
        <v>110000</v>
      </c>
      <c r="E391" s="6"/>
      <c r="F391" s="6"/>
      <c r="G391" s="5" t="s">
        <v>0</v>
      </c>
    </row>
    <row r="392" spans="1:7" x14ac:dyDescent="0.3">
      <c r="A392" s="23">
        <f t="shared" si="23"/>
        <v>17</v>
      </c>
      <c r="B392" s="41"/>
      <c r="C392" s="2" t="s">
        <v>11</v>
      </c>
      <c r="D392" s="12">
        <v>185192</v>
      </c>
      <c r="E392" s="6"/>
      <c r="F392" s="6"/>
    </row>
    <row r="393" spans="1:7" x14ac:dyDescent="0.3">
      <c r="A393" s="23">
        <f t="shared" si="23"/>
        <v>18</v>
      </c>
      <c r="B393" s="41"/>
      <c r="C393" s="2" t="s">
        <v>220</v>
      </c>
      <c r="D393" s="12" t="s">
        <v>0</v>
      </c>
      <c r="E393" s="6"/>
      <c r="F393" s="6"/>
    </row>
    <row r="394" spans="1:7" x14ac:dyDescent="0.3">
      <c r="A394" s="23">
        <f t="shared" si="23"/>
        <v>19</v>
      </c>
      <c r="B394" s="41"/>
      <c r="C394" s="2" t="s">
        <v>221</v>
      </c>
      <c r="D394" s="12">
        <v>500000</v>
      </c>
      <c r="E394" s="6"/>
      <c r="F394" s="6"/>
      <c r="G394" s="5" t="s">
        <v>222</v>
      </c>
    </row>
    <row r="395" spans="1:7" x14ac:dyDescent="0.3">
      <c r="A395" s="23">
        <f t="shared" ref="A395:A401" si="24">ROW(A21)</f>
        <v>21</v>
      </c>
      <c r="B395" s="41"/>
      <c r="C395" s="2" t="s">
        <v>223</v>
      </c>
      <c r="D395" s="12">
        <v>500000</v>
      </c>
      <c r="E395" s="6"/>
      <c r="F395" s="6"/>
    </row>
    <row r="396" spans="1:7" x14ac:dyDescent="0.3">
      <c r="A396" s="23">
        <f t="shared" si="24"/>
        <v>22</v>
      </c>
      <c r="B396" s="41"/>
      <c r="C396" s="34" t="s">
        <v>224</v>
      </c>
      <c r="D396" s="36">
        <f>SUM(D387:D392,D394:D395)</f>
        <v>6953691</v>
      </c>
      <c r="E396" s="6"/>
      <c r="F396" s="6"/>
    </row>
    <row r="397" spans="1:7" x14ac:dyDescent="0.3">
      <c r="A397" s="23">
        <f t="shared" si="24"/>
        <v>23</v>
      </c>
      <c r="B397" s="41"/>
      <c r="C397" s="14"/>
      <c r="D397" s="20"/>
      <c r="E397" s="6"/>
      <c r="F397" s="6"/>
    </row>
    <row r="398" spans="1:7" x14ac:dyDescent="0.3">
      <c r="A398" s="23">
        <f t="shared" si="24"/>
        <v>24</v>
      </c>
      <c r="B398" s="41"/>
      <c r="C398" s="2" t="s">
        <v>225</v>
      </c>
      <c r="D398" s="19">
        <f>SUM(D43,D54,D69,D80,D97,D107,D120,D130,D144,D152,D166,D174,D183,D192,D197,D212,D227,D254,D268,D286,D291,D303,D314,D333,D348,D361,D371,D384,D396)</f>
        <v>650948748.10000002</v>
      </c>
      <c r="E398" s="6" t="s">
        <v>0</v>
      </c>
      <c r="F398" s="6"/>
    </row>
    <row r="399" spans="1:7" x14ac:dyDescent="0.3">
      <c r="A399" s="23">
        <f t="shared" si="24"/>
        <v>25</v>
      </c>
      <c r="B399" s="41"/>
      <c r="C399" s="9"/>
      <c r="D399" s="20"/>
      <c r="E399" s="6" t="s">
        <v>0</v>
      </c>
      <c r="F399" s="6"/>
    </row>
    <row r="400" spans="1:7" x14ac:dyDescent="0.3">
      <c r="A400" s="23">
        <f t="shared" si="24"/>
        <v>26</v>
      </c>
      <c r="B400" s="41" t="s">
        <v>216</v>
      </c>
      <c r="C400" s="2" t="s">
        <v>226</v>
      </c>
      <c r="D400" s="17">
        <f>SUM(D558)</f>
        <v>48830871.640000001</v>
      </c>
      <c r="E400" s="6" t="s">
        <v>0</v>
      </c>
      <c r="F400" s="6"/>
    </row>
    <row r="401" spans="1:6" x14ac:dyDescent="0.3">
      <c r="A401" s="23">
        <f t="shared" si="24"/>
        <v>27</v>
      </c>
      <c r="B401" s="41"/>
      <c r="C401" s="9"/>
      <c r="D401" s="9"/>
      <c r="E401" s="6"/>
      <c r="F401" s="6"/>
    </row>
    <row r="402" spans="1:6" x14ac:dyDescent="0.3">
      <c r="A402" s="23">
        <f t="shared" ref="A402:A422" si="25">ROW(A28)</f>
        <v>28</v>
      </c>
      <c r="B402" s="41" t="s">
        <v>227</v>
      </c>
      <c r="C402" s="2" t="s">
        <v>228</v>
      </c>
      <c r="D402" s="11">
        <f>SUM(D590)</f>
        <v>1555566</v>
      </c>
      <c r="E402" s="6"/>
      <c r="F402" s="6"/>
    </row>
    <row r="403" spans="1:6" x14ac:dyDescent="0.3">
      <c r="A403" s="23">
        <f t="shared" si="25"/>
        <v>29</v>
      </c>
      <c r="B403" s="41"/>
      <c r="C403" s="9"/>
      <c r="D403" s="11"/>
      <c r="E403" s="6"/>
      <c r="F403" s="6"/>
    </row>
    <row r="404" spans="1:6" x14ac:dyDescent="0.3">
      <c r="A404" s="23">
        <f t="shared" si="25"/>
        <v>30</v>
      </c>
      <c r="B404" s="41"/>
      <c r="C404" s="2" t="s">
        <v>229</v>
      </c>
      <c r="D404" s="19">
        <f>SUM(D398,D400,D402)</f>
        <v>701335185.74000001</v>
      </c>
      <c r="E404" s="28">
        <f>SUM(D404-729750226)</f>
        <v>-28415040.25999999</v>
      </c>
      <c r="F404" s="6"/>
    </row>
    <row r="405" spans="1:6" x14ac:dyDescent="0.3">
      <c r="A405" s="23">
        <f t="shared" si="25"/>
        <v>31</v>
      </c>
      <c r="B405" s="41"/>
      <c r="C405" s="9"/>
      <c r="D405" s="11"/>
      <c r="E405" s="6"/>
      <c r="F405" s="6"/>
    </row>
    <row r="406" spans="1:6" x14ac:dyDescent="0.3">
      <c r="A406" s="23">
        <f t="shared" si="25"/>
        <v>32</v>
      </c>
      <c r="B406" s="41"/>
      <c r="C406" s="9"/>
      <c r="D406" s="9"/>
      <c r="E406" s="6"/>
      <c r="F406" s="6"/>
    </row>
    <row r="407" spans="1:6" x14ac:dyDescent="0.3">
      <c r="A407" s="23">
        <f t="shared" si="25"/>
        <v>33</v>
      </c>
      <c r="B407" s="41" t="s">
        <v>230</v>
      </c>
      <c r="C407" s="41" t="s">
        <v>231</v>
      </c>
      <c r="D407" s="15" t="s">
        <v>5</v>
      </c>
      <c r="E407" s="6"/>
      <c r="F407" s="6"/>
    </row>
    <row r="408" spans="1:6" x14ac:dyDescent="0.3">
      <c r="A408" s="23">
        <f t="shared" si="25"/>
        <v>34</v>
      </c>
      <c r="B408" s="41"/>
      <c r="C408" s="41" t="s">
        <v>232</v>
      </c>
      <c r="D408" s="15"/>
      <c r="E408" s="6"/>
      <c r="F408" s="6"/>
    </row>
    <row r="409" spans="1:6" x14ac:dyDescent="0.3">
      <c r="A409" s="23">
        <f t="shared" si="25"/>
        <v>35</v>
      </c>
      <c r="B409" s="9" t="s">
        <v>0</v>
      </c>
      <c r="C409" s="2" t="s">
        <v>233</v>
      </c>
      <c r="D409" s="16">
        <f>SUM(1632700+375000)</f>
        <v>2007700</v>
      </c>
      <c r="E409" s="6"/>
      <c r="F409" s="6"/>
    </row>
    <row r="410" spans="1:6" x14ac:dyDescent="0.3">
      <c r="A410" s="23">
        <f t="shared" si="25"/>
        <v>36</v>
      </c>
      <c r="B410" s="9"/>
      <c r="C410" s="2" t="s">
        <v>234</v>
      </c>
      <c r="D410" s="16">
        <v>45000</v>
      </c>
      <c r="E410" s="6"/>
      <c r="F410" s="6"/>
    </row>
    <row r="411" spans="1:6" x14ac:dyDescent="0.3">
      <c r="A411" s="23">
        <f t="shared" si="25"/>
        <v>37</v>
      </c>
      <c r="B411" s="9" t="s">
        <v>0</v>
      </c>
      <c r="C411" s="2" t="s">
        <v>235</v>
      </c>
      <c r="D411" s="16">
        <v>6613000</v>
      </c>
      <c r="E411" s="6"/>
      <c r="F411" s="6"/>
    </row>
    <row r="412" spans="1:6" x14ac:dyDescent="0.3">
      <c r="A412" s="23">
        <f t="shared" si="25"/>
        <v>38</v>
      </c>
      <c r="B412" s="41"/>
      <c r="C412" s="2" t="s">
        <v>236</v>
      </c>
      <c r="D412" s="12">
        <f>SUM(1423800)</f>
        <v>1423800</v>
      </c>
      <c r="E412" s="6"/>
      <c r="F412" s="6"/>
    </row>
    <row r="413" spans="1:6" x14ac:dyDescent="0.3">
      <c r="A413" s="23">
        <f t="shared" si="25"/>
        <v>39</v>
      </c>
      <c r="B413" s="41"/>
      <c r="C413" s="2" t="s">
        <v>237</v>
      </c>
      <c r="D413" s="11">
        <f>SUM(4500000-300000)</f>
        <v>4200000</v>
      </c>
      <c r="E413" s="21"/>
      <c r="F413" s="6"/>
    </row>
    <row r="414" spans="1:6" x14ac:dyDescent="0.3">
      <c r="A414" s="23">
        <f t="shared" si="25"/>
        <v>40</v>
      </c>
      <c r="B414" s="41"/>
      <c r="C414" s="2" t="s">
        <v>238</v>
      </c>
      <c r="D414" s="11">
        <v>200000</v>
      </c>
      <c r="E414" s="21"/>
      <c r="F414" s="6"/>
    </row>
    <row r="415" spans="1:6" x14ac:dyDescent="0.3">
      <c r="A415" s="23">
        <f t="shared" si="25"/>
        <v>41</v>
      </c>
      <c r="B415" s="9" t="s">
        <v>0</v>
      </c>
      <c r="C415" s="2" t="s">
        <v>239</v>
      </c>
      <c r="D415" s="16">
        <v>2000000</v>
      </c>
      <c r="E415" s="6"/>
      <c r="F415" s="6"/>
    </row>
    <row r="416" spans="1:6" x14ac:dyDescent="0.3">
      <c r="A416" s="23">
        <f t="shared" si="25"/>
        <v>42</v>
      </c>
      <c r="B416" s="9" t="s">
        <v>0</v>
      </c>
      <c r="C416" s="2" t="s">
        <v>240</v>
      </c>
      <c r="D416" s="16">
        <v>4431902</v>
      </c>
      <c r="E416" s="6"/>
      <c r="F416" s="6"/>
    </row>
    <row r="417" spans="1:6" x14ac:dyDescent="0.3">
      <c r="A417" s="23">
        <f t="shared" si="25"/>
        <v>43</v>
      </c>
      <c r="B417" s="9" t="s">
        <v>0</v>
      </c>
      <c r="C417" s="2" t="s">
        <v>241</v>
      </c>
      <c r="D417" s="16">
        <f>SUM(2700000+300000)</f>
        <v>3000000</v>
      </c>
      <c r="E417" s="6"/>
      <c r="F417" s="6"/>
    </row>
    <row r="418" spans="1:6" x14ac:dyDescent="0.3">
      <c r="A418" s="23">
        <f t="shared" si="25"/>
        <v>44</v>
      </c>
      <c r="B418" s="9" t="s">
        <v>0</v>
      </c>
      <c r="C418" s="2" t="s">
        <v>242</v>
      </c>
      <c r="D418" s="16">
        <f>SUM(2100000+300000)</f>
        <v>2400000</v>
      </c>
      <c r="E418" s="6"/>
      <c r="F418" s="6"/>
    </row>
    <row r="419" spans="1:6" x14ac:dyDescent="0.3">
      <c r="A419" s="23">
        <f t="shared" si="25"/>
        <v>45</v>
      </c>
      <c r="B419" s="9" t="s">
        <v>0</v>
      </c>
      <c r="C419" s="2" t="s">
        <v>243</v>
      </c>
      <c r="D419" s="16">
        <f>SUM(2000000+500000)</f>
        <v>2500000</v>
      </c>
      <c r="E419" s="6"/>
      <c r="F419" s="6"/>
    </row>
    <row r="420" spans="1:6" x14ac:dyDescent="0.3">
      <c r="A420" s="23">
        <f t="shared" si="25"/>
        <v>46</v>
      </c>
      <c r="B420" s="41"/>
      <c r="C420" s="2" t="s">
        <v>244</v>
      </c>
      <c r="D420" s="11">
        <f>SUM(300000+150000)</f>
        <v>450000</v>
      </c>
      <c r="E420" s="21"/>
      <c r="F420" s="6"/>
    </row>
    <row r="421" spans="1:6" x14ac:dyDescent="0.3">
      <c r="A421" s="23">
        <f t="shared" si="25"/>
        <v>47</v>
      </c>
      <c r="B421" s="41"/>
      <c r="C421" s="2" t="s">
        <v>245</v>
      </c>
      <c r="D421" s="11">
        <f>SUM(150000-25000)</f>
        <v>125000</v>
      </c>
      <c r="E421" s="21"/>
      <c r="F421" s="6"/>
    </row>
    <row r="422" spans="1:6" x14ac:dyDescent="0.3">
      <c r="A422" s="23">
        <f t="shared" si="25"/>
        <v>48</v>
      </c>
      <c r="B422" s="41"/>
      <c r="C422" s="2" t="s">
        <v>246</v>
      </c>
      <c r="D422" s="12">
        <v>5000000</v>
      </c>
      <c r="E422" s="6"/>
      <c r="F422" s="6"/>
    </row>
    <row r="423" spans="1:6" x14ac:dyDescent="0.3">
      <c r="A423" s="23">
        <f t="shared" ref="A423:A441" si="26">ROW(A1)</f>
        <v>1</v>
      </c>
      <c r="B423" s="41"/>
      <c r="C423" s="2" t="s">
        <v>247</v>
      </c>
      <c r="D423" s="11">
        <f>SUM(4092900+1433069.64)</f>
        <v>5525969.6399999997</v>
      </c>
      <c r="E423" s="4">
        <f>SUM(D409:D421,D424:D426)</f>
        <v>31096402</v>
      </c>
      <c r="F423" s="6" t="s">
        <v>248</v>
      </c>
    </row>
    <row r="424" spans="1:6" x14ac:dyDescent="0.3">
      <c r="A424" s="23">
        <f t="shared" si="26"/>
        <v>2</v>
      </c>
      <c r="B424" s="41"/>
      <c r="C424" s="9" t="s">
        <v>249</v>
      </c>
      <c r="D424" s="11">
        <f>SUM(500000-200000)</f>
        <v>300000</v>
      </c>
      <c r="E424" s="4"/>
      <c r="F424" s="6"/>
    </row>
    <row r="425" spans="1:6" x14ac:dyDescent="0.3">
      <c r="A425" s="23">
        <f t="shared" si="26"/>
        <v>3</v>
      </c>
      <c r="B425" s="9" t="s">
        <v>0</v>
      </c>
      <c r="C425" s="2" t="s">
        <v>250</v>
      </c>
      <c r="D425" s="16">
        <v>300000</v>
      </c>
      <c r="E425" s="6"/>
      <c r="F425" s="6"/>
    </row>
    <row r="426" spans="1:6" x14ac:dyDescent="0.3">
      <c r="A426" s="23">
        <f t="shared" si="26"/>
        <v>4</v>
      </c>
      <c r="B426" s="41"/>
      <c r="C426" s="2" t="s">
        <v>251</v>
      </c>
      <c r="D426" s="11">
        <f>SUM(2100000-1000000)</f>
        <v>1100000</v>
      </c>
      <c r="E426" s="4"/>
      <c r="F426" s="6" t="s">
        <v>252</v>
      </c>
    </row>
    <row r="427" spans="1:6" x14ac:dyDescent="0.3">
      <c r="A427" s="23">
        <f t="shared" si="26"/>
        <v>5</v>
      </c>
      <c r="B427" s="41"/>
      <c r="C427" s="1" t="s">
        <v>253</v>
      </c>
      <c r="D427" s="11">
        <f>SUM(D409:D426)</f>
        <v>41622371.640000001</v>
      </c>
      <c r="E427" s="4"/>
      <c r="F427" s="6"/>
    </row>
    <row r="428" spans="1:6" x14ac:dyDescent="0.3">
      <c r="A428" s="23">
        <f t="shared" si="26"/>
        <v>6</v>
      </c>
      <c r="B428" s="41"/>
      <c r="C428" s="2"/>
      <c r="D428" s="11"/>
      <c r="E428" s="4"/>
      <c r="F428" s="6"/>
    </row>
    <row r="429" spans="1:6" x14ac:dyDescent="0.3">
      <c r="A429" s="23">
        <f t="shared" si="26"/>
        <v>7</v>
      </c>
      <c r="B429" s="41" t="s">
        <v>230</v>
      </c>
      <c r="C429" s="1" t="s">
        <v>254</v>
      </c>
      <c r="D429" s="40" t="s">
        <v>5</v>
      </c>
      <c r="E429" s="4"/>
      <c r="F429" s="6"/>
    </row>
    <row r="430" spans="1:6" x14ac:dyDescent="0.3">
      <c r="A430" s="23">
        <f t="shared" si="26"/>
        <v>8</v>
      </c>
      <c r="B430" s="41"/>
      <c r="C430" s="2" t="s">
        <v>255</v>
      </c>
      <c r="D430" s="16">
        <v>40000</v>
      </c>
      <c r="E430" s="4"/>
      <c r="F430" s="6"/>
    </row>
    <row r="431" spans="1:6" x14ac:dyDescent="0.3">
      <c r="A431" s="23">
        <f t="shared" si="26"/>
        <v>9</v>
      </c>
      <c r="B431" s="41"/>
      <c r="C431" s="2" t="s">
        <v>256</v>
      </c>
      <c r="D431" s="11">
        <v>100000</v>
      </c>
      <c r="E431" s="21"/>
      <c r="F431" s="6"/>
    </row>
    <row r="432" spans="1:6" x14ac:dyDescent="0.3">
      <c r="A432" s="23">
        <f t="shared" si="26"/>
        <v>10</v>
      </c>
      <c r="B432" s="41"/>
      <c r="C432" s="2" t="s">
        <v>257</v>
      </c>
      <c r="D432" s="11">
        <v>5000</v>
      </c>
      <c r="E432" s="21"/>
      <c r="F432" s="6"/>
    </row>
    <row r="433" spans="1:6" x14ac:dyDescent="0.3">
      <c r="A433" s="23">
        <f t="shared" si="26"/>
        <v>11</v>
      </c>
      <c r="B433" s="41"/>
      <c r="C433" s="2" t="s">
        <v>258</v>
      </c>
      <c r="D433" s="11">
        <v>100000</v>
      </c>
      <c r="E433" s="4"/>
      <c r="F433" s="6"/>
    </row>
    <row r="434" spans="1:6" x14ac:dyDescent="0.3">
      <c r="A434" s="23">
        <f t="shared" si="26"/>
        <v>12</v>
      </c>
      <c r="B434" s="9" t="s">
        <v>0</v>
      </c>
      <c r="C434" s="2" t="s">
        <v>259</v>
      </c>
      <c r="D434" s="11">
        <v>100000</v>
      </c>
      <c r="E434" s="6"/>
      <c r="F434" s="6"/>
    </row>
    <row r="435" spans="1:6" x14ac:dyDescent="0.3">
      <c r="A435" s="23">
        <f t="shared" si="26"/>
        <v>13</v>
      </c>
      <c r="B435" s="41"/>
      <c r="C435" s="2" t="s">
        <v>260</v>
      </c>
      <c r="D435" s="11">
        <v>120000</v>
      </c>
      <c r="E435" s="4"/>
      <c r="F435" s="6"/>
    </row>
    <row r="436" spans="1:6" x14ac:dyDescent="0.3">
      <c r="A436" s="23">
        <f t="shared" si="26"/>
        <v>14</v>
      </c>
      <c r="B436" s="41"/>
      <c r="C436" s="2" t="s">
        <v>261</v>
      </c>
      <c r="D436" s="11">
        <v>100000</v>
      </c>
      <c r="E436" s="4"/>
      <c r="F436" s="6"/>
    </row>
    <row r="437" spans="1:6" ht="15" customHeight="1" x14ac:dyDescent="0.3">
      <c r="A437" s="23">
        <f t="shared" si="26"/>
        <v>15</v>
      </c>
      <c r="B437" s="41"/>
      <c r="C437" s="51" t="s">
        <v>262</v>
      </c>
      <c r="D437" s="12">
        <f>SUM(750000+250000)</f>
        <v>1000000</v>
      </c>
      <c r="E437" s="6"/>
      <c r="F437" s="6"/>
    </row>
    <row r="438" spans="1:6" x14ac:dyDescent="0.3">
      <c r="A438" s="23">
        <f t="shared" si="26"/>
        <v>16</v>
      </c>
      <c r="B438" s="41"/>
      <c r="C438" s="2" t="s">
        <v>263</v>
      </c>
      <c r="D438" s="11">
        <v>40000</v>
      </c>
      <c r="E438" s="4"/>
      <c r="F438" s="6"/>
    </row>
    <row r="439" spans="1:6" ht="15" customHeight="1" x14ac:dyDescent="0.3">
      <c r="A439" s="23">
        <f t="shared" si="26"/>
        <v>17</v>
      </c>
      <c r="B439" s="41"/>
      <c r="C439" s="2" t="s">
        <v>264</v>
      </c>
      <c r="D439" s="13">
        <v>100000</v>
      </c>
      <c r="E439" s="4"/>
      <c r="F439" s="6"/>
    </row>
    <row r="440" spans="1:6" x14ac:dyDescent="0.3">
      <c r="A440" s="23">
        <f t="shared" si="26"/>
        <v>18</v>
      </c>
      <c r="B440" s="41"/>
      <c r="C440" s="2" t="s">
        <v>265</v>
      </c>
      <c r="D440" s="16">
        <v>50000</v>
      </c>
      <c r="E440" s="4"/>
      <c r="F440" s="6"/>
    </row>
    <row r="441" spans="1:6" x14ac:dyDescent="0.3">
      <c r="A441" s="23">
        <f t="shared" si="26"/>
        <v>19</v>
      </c>
      <c r="B441" s="41"/>
      <c r="C441" s="2" t="s">
        <v>266</v>
      </c>
      <c r="D441" s="11">
        <v>12500</v>
      </c>
      <c r="E441" s="4"/>
      <c r="F441" s="6"/>
    </row>
    <row r="442" spans="1:6" x14ac:dyDescent="0.3">
      <c r="A442" s="23">
        <f t="shared" ref="A442:A448" si="27">ROW(A21)</f>
        <v>21</v>
      </c>
      <c r="B442" s="41"/>
      <c r="C442" s="2" t="s">
        <v>267</v>
      </c>
      <c r="D442" s="11">
        <v>40000</v>
      </c>
      <c r="E442" s="4"/>
      <c r="F442" s="6"/>
    </row>
    <row r="443" spans="1:6" x14ac:dyDescent="0.3">
      <c r="A443" s="23">
        <f t="shared" si="27"/>
        <v>22</v>
      </c>
      <c r="B443" s="9"/>
      <c r="C443" s="2" t="s">
        <v>268</v>
      </c>
      <c r="D443" s="11">
        <v>50000</v>
      </c>
      <c r="E443" s="6"/>
      <c r="F443" s="6"/>
    </row>
    <row r="444" spans="1:6" x14ac:dyDescent="0.3">
      <c r="A444" s="23">
        <f t="shared" si="27"/>
        <v>23</v>
      </c>
      <c r="B444" s="41"/>
      <c r="C444" s="2" t="s">
        <v>269</v>
      </c>
      <c r="D444" s="11">
        <v>50000</v>
      </c>
      <c r="E444" s="4"/>
      <c r="F444" s="6"/>
    </row>
    <row r="445" spans="1:6" x14ac:dyDescent="0.3">
      <c r="A445" s="23">
        <f t="shared" si="27"/>
        <v>24</v>
      </c>
      <c r="B445" s="41"/>
      <c r="C445" s="2" t="s">
        <v>270</v>
      </c>
      <c r="D445" s="11">
        <v>50000</v>
      </c>
      <c r="E445" s="4"/>
      <c r="F445" s="6"/>
    </row>
    <row r="446" spans="1:6" x14ac:dyDescent="0.3">
      <c r="A446" s="23">
        <f t="shared" si="27"/>
        <v>25</v>
      </c>
      <c r="B446" s="41"/>
      <c r="C446" s="2" t="s">
        <v>271</v>
      </c>
      <c r="D446" s="11">
        <v>7500</v>
      </c>
      <c r="E446" s="4"/>
      <c r="F446" s="6"/>
    </row>
    <row r="447" spans="1:6" ht="15" customHeight="1" x14ac:dyDescent="0.3">
      <c r="A447" s="23">
        <f t="shared" si="27"/>
        <v>26</v>
      </c>
      <c r="B447" s="41"/>
      <c r="C447" s="2" t="s">
        <v>272</v>
      </c>
      <c r="D447" s="13">
        <v>25000</v>
      </c>
      <c r="E447" s="4"/>
      <c r="F447" s="6"/>
    </row>
    <row r="448" spans="1:6" x14ac:dyDescent="0.3">
      <c r="A448" s="23">
        <f t="shared" si="27"/>
        <v>27</v>
      </c>
      <c r="B448" s="41"/>
      <c r="C448" s="2" t="s">
        <v>273</v>
      </c>
      <c r="D448" s="11">
        <v>60000</v>
      </c>
      <c r="E448" s="6"/>
      <c r="F448" s="6"/>
    </row>
    <row r="449" spans="1:6" x14ac:dyDescent="0.3">
      <c r="A449" s="23">
        <f t="shared" ref="A449:A469" si="28">ROW(A28)</f>
        <v>28</v>
      </c>
      <c r="B449" s="9" t="s">
        <v>0</v>
      </c>
      <c r="C449" s="2" t="s">
        <v>274</v>
      </c>
      <c r="D449" s="11">
        <v>150000</v>
      </c>
      <c r="E449" s="6"/>
      <c r="F449" s="6"/>
    </row>
    <row r="450" spans="1:6" x14ac:dyDescent="0.3">
      <c r="A450" s="23">
        <f t="shared" si="28"/>
        <v>29</v>
      </c>
      <c r="B450" s="41"/>
      <c r="C450" s="2" t="s">
        <v>275</v>
      </c>
      <c r="D450" s="11">
        <v>750000</v>
      </c>
      <c r="E450" s="4"/>
      <c r="F450" s="6"/>
    </row>
    <row r="451" spans="1:6" x14ac:dyDescent="0.3">
      <c r="A451" s="23">
        <f t="shared" si="28"/>
        <v>30</v>
      </c>
      <c r="B451" s="9" t="s">
        <v>0</v>
      </c>
      <c r="C451" s="2" t="s">
        <v>276</v>
      </c>
      <c r="D451" s="11">
        <v>50000</v>
      </c>
      <c r="E451" s="6"/>
      <c r="F451" s="6"/>
    </row>
    <row r="452" spans="1:6" x14ac:dyDescent="0.3">
      <c r="A452" s="23">
        <f t="shared" si="28"/>
        <v>31</v>
      </c>
      <c r="B452" s="41"/>
      <c r="C452" s="2" t="s">
        <v>277</v>
      </c>
      <c r="D452" s="13">
        <f>SUM(37500)</f>
        <v>37500</v>
      </c>
      <c r="E452" s="4"/>
      <c r="F452" s="6"/>
    </row>
    <row r="453" spans="1:6" x14ac:dyDescent="0.3">
      <c r="A453" s="23">
        <f t="shared" si="28"/>
        <v>32</v>
      </c>
      <c r="B453" s="41"/>
      <c r="C453" s="2" t="s">
        <v>278</v>
      </c>
      <c r="D453" s="11">
        <v>150000</v>
      </c>
      <c r="E453" s="6"/>
      <c r="F453" s="6"/>
    </row>
    <row r="454" spans="1:6" x14ac:dyDescent="0.3">
      <c r="A454" s="23">
        <f t="shared" si="28"/>
        <v>33</v>
      </c>
      <c r="B454" s="41"/>
      <c r="C454" s="2" t="s">
        <v>279</v>
      </c>
      <c r="D454" s="13">
        <f>SUM(10000-5000)</f>
        <v>5000</v>
      </c>
      <c r="E454" s="4">
        <f>SUM(D430:D454)</f>
        <v>3192500</v>
      </c>
      <c r="F454" s="6"/>
    </row>
    <row r="455" spans="1:6" x14ac:dyDescent="0.3">
      <c r="A455" s="23">
        <f t="shared" si="28"/>
        <v>34</v>
      </c>
      <c r="B455" s="41"/>
      <c r="C455" s="2" t="s">
        <v>280</v>
      </c>
      <c r="D455" s="11">
        <f>SUM(75000+100000)</f>
        <v>175000</v>
      </c>
      <c r="E455" s="6"/>
      <c r="F455" s="6"/>
    </row>
    <row r="456" spans="1:6" x14ac:dyDescent="0.3">
      <c r="A456" s="23">
        <f t="shared" si="28"/>
        <v>35</v>
      </c>
      <c r="B456" s="41"/>
      <c r="C456" s="2" t="s">
        <v>281</v>
      </c>
      <c r="D456" s="11">
        <f>SUM(20000+2500)</f>
        <v>22500</v>
      </c>
      <c r="E456" s="6"/>
      <c r="F456" s="6"/>
    </row>
    <row r="457" spans="1:6" x14ac:dyDescent="0.3">
      <c r="A457" s="23">
        <f t="shared" si="28"/>
        <v>36</v>
      </c>
      <c r="B457" s="41"/>
      <c r="C457" s="2" t="s">
        <v>282</v>
      </c>
      <c r="D457" s="11">
        <f>SUM(20000+2500)</f>
        <v>22500</v>
      </c>
      <c r="E457" s="6"/>
      <c r="F457" s="6"/>
    </row>
    <row r="458" spans="1:6" x14ac:dyDescent="0.3">
      <c r="A458" s="23">
        <f t="shared" si="28"/>
        <v>37</v>
      </c>
      <c r="B458" s="41"/>
      <c r="C458" s="2" t="s">
        <v>283</v>
      </c>
      <c r="D458" s="11">
        <f>SUM(20000+30000)</f>
        <v>50000</v>
      </c>
      <c r="E458" s="6"/>
      <c r="F458" s="6"/>
    </row>
    <row r="459" spans="1:6" x14ac:dyDescent="0.3">
      <c r="A459" s="23">
        <f t="shared" si="28"/>
        <v>38</v>
      </c>
      <c r="B459" s="41"/>
      <c r="C459" s="2" t="s">
        <v>284</v>
      </c>
      <c r="D459" s="11">
        <v>20000</v>
      </c>
      <c r="E459" s="6"/>
      <c r="F459" s="6"/>
    </row>
    <row r="460" spans="1:6" x14ac:dyDescent="0.3">
      <c r="A460" s="23">
        <f t="shared" si="28"/>
        <v>39</v>
      </c>
      <c r="B460" s="41"/>
      <c r="C460" s="2" t="s">
        <v>285</v>
      </c>
      <c r="D460" s="11">
        <f>SUM(50000)</f>
        <v>50000</v>
      </c>
      <c r="E460" s="6"/>
      <c r="F460" s="6"/>
    </row>
    <row r="461" spans="1:6" x14ac:dyDescent="0.3">
      <c r="A461" s="23">
        <f t="shared" si="28"/>
        <v>40</v>
      </c>
      <c r="B461" s="41"/>
      <c r="C461" s="2" t="s">
        <v>286</v>
      </c>
      <c r="D461" s="11">
        <v>50000</v>
      </c>
      <c r="E461" s="6"/>
      <c r="F461" s="6"/>
    </row>
    <row r="462" spans="1:6" x14ac:dyDescent="0.3">
      <c r="A462" s="23">
        <f t="shared" si="28"/>
        <v>41</v>
      </c>
      <c r="B462" s="41"/>
      <c r="C462" s="2" t="s">
        <v>287</v>
      </c>
      <c r="D462" s="11">
        <f>SUM(122500+52500)</f>
        <v>175000</v>
      </c>
      <c r="E462" s="21">
        <f>SUM(D455:D462)</f>
        <v>565000</v>
      </c>
      <c r="F462" s="6"/>
    </row>
    <row r="463" spans="1:6" ht="15" customHeight="1" x14ac:dyDescent="0.3">
      <c r="A463" s="23">
        <f t="shared" si="28"/>
        <v>42</v>
      </c>
      <c r="B463" s="41"/>
      <c r="C463" s="2" t="s">
        <v>288</v>
      </c>
      <c r="D463" s="13">
        <v>10000</v>
      </c>
      <c r="E463" s="28"/>
      <c r="F463" s="38"/>
    </row>
    <row r="464" spans="1:6" ht="15" customHeight="1" x14ac:dyDescent="0.3">
      <c r="A464" s="23">
        <f t="shared" si="28"/>
        <v>43</v>
      </c>
      <c r="B464" s="9"/>
      <c r="C464" s="2" t="s">
        <v>289</v>
      </c>
      <c r="D464" s="13">
        <v>8000</v>
      </c>
      <c r="E464" s="38"/>
      <c r="F464" s="6"/>
    </row>
    <row r="465" spans="1:6" ht="15" customHeight="1" x14ac:dyDescent="0.3">
      <c r="A465" s="23">
        <f t="shared" si="28"/>
        <v>44</v>
      </c>
      <c r="B465" s="9"/>
      <c r="C465" s="2" t="s">
        <v>290</v>
      </c>
      <c r="D465" s="13">
        <v>50000</v>
      </c>
      <c r="E465" s="38"/>
      <c r="F465" s="6"/>
    </row>
    <row r="466" spans="1:6" ht="15" customHeight="1" x14ac:dyDescent="0.3">
      <c r="A466" s="23">
        <f t="shared" si="28"/>
        <v>45</v>
      </c>
      <c r="B466" s="9"/>
      <c r="C466" s="2" t="s">
        <v>291</v>
      </c>
      <c r="D466" s="13">
        <v>5000</v>
      </c>
      <c r="E466" s="38"/>
      <c r="F466" s="6"/>
    </row>
    <row r="467" spans="1:6" ht="15" customHeight="1" x14ac:dyDescent="0.3">
      <c r="A467" s="23">
        <f t="shared" si="28"/>
        <v>46</v>
      </c>
      <c r="B467" s="9"/>
      <c r="C467" s="2" t="s">
        <v>292</v>
      </c>
      <c r="D467" s="13">
        <f>SUM(12000+3000+5000)</f>
        <v>20000</v>
      </c>
      <c r="E467" s="6"/>
      <c r="F467" s="6"/>
    </row>
    <row r="468" spans="1:6" x14ac:dyDescent="0.3">
      <c r="A468" s="23">
        <f t="shared" si="28"/>
        <v>47</v>
      </c>
      <c r="B468" s="41"/>
      <c r="C468" s="2" t="s">
        <v>293</v>
      </c>
      <c r="D468" s="16">
        <v>60000</v>
      </c>
      <c r="E468" s="28"/>
      <c r="F468" s="6"/>
    </row>
    <row r="469" spans="1:6" x14ac:dyDescent="0.3">
      <c r="A469" s="23">
        <f t="shared" si="28"/>
        <v>48</v>
      </c>
      <c r="B469" s="41"/>
      <c r="C469" s="2" t="s">
        <v>294</v>
      </c>
      <c r="D469" s="16">
        <v>60000</v>
      </c>
      <c r="E469" s="28"/>
      <c r="F469" s="6"/>
    </row>
    <row r="470" spans="1:6" x14ac:dyDescent="0.3">
      <c r="A470" s="23">
        <f t="shared" ref="A470:A488" si="29">ROW(A1)</f>
        <v>1</v>
      </c>
      <c r="B470" s="41"/>
      <c r="C470" s="2" t="s">
        <v>295</v>
      </c>
      <c r="D470" s="11">
        <f>SUM(15000-5000)</f>
        <v>10000</v>
      </c>
      <c r="E470" s="4"/>
      <c r="F470" s="6"/>
    </row>
    <row r="471" spans="1:6" ht="15" customHeight="1" x14ac:dyDescent="0.3">
      <c r="A471" s="23">
        <f t="shared" si="29"/>
        <v>2</v>
      </c>
      <c r="B471" s="41"/>
      <c r="C471" s="2" t="s">
        <v>296</v>
      </c>
      <c r="D471" s="13">
        <v>10000</v>
      </c>
      <c r="E471" s="4">
        <f>SUM(D463:D471)</f>
        <v>233000</v>
      </c>
      <c r="F471" s="6"/>
    </row>
    <row r="472" spans="1:6" x14ac:dyDescent="0.3">
      <c r="A472" s="23">
        <f t="shared" si="29"/>
        <v>3</v>
      </c>
      <c r="B472" s="41"/>
      <c r="C472" s="2" t="s">
        <v>297</v>
      </c>
      <c r="D472" s="16">
        <v>25000</v>
      </c>
      <c r="E472" s="4"/>
      <c r="F472" s="6"/>
    </row>
    <row r="473" spans="1:6" ht="15" customHeight="1" x14ac:dyDescent="0.3">
      <c r="A473" s="23">
        <f t="shared" si="29"/>
        <v>4</v>
      </c>
      <c r="B473" s="9"/>
      <c r="C473" s="2" t="s">
        <v>298</v>
      </c>
      <c r="D473" s="13">
        <v>100000</v>
      </c>
      <c r="E473" s="6"/>
      <c r="F473" s="6"/>
    </row>
    <row r="474" spans="1:6" ht="15" customHeight="1" x14ac:dyDescent="0.3">
      <c r="A474" s="23">
        <f t="shared" si="29"/>
        <v>5</v>
      </c>
      <c r="B474" s="9"/>
      <c r="C474" s="2" t="s">
        <v>299</v>
      </c>
      <c r="D474" s="13">
        <v>7000</v>
      </c>
      <c r="E474" s="38">
        <f>SUM(D472:D474)</f>
        <v>132000</v>
      </c>
      <c r="F474" s="6"/>
    </row>
    <row r="475" spans="1:6" ht="15" customHeight="1" x14ac:dyDescent="0.3">
      <c r="A475" s="23">
        <f t="shared" si="29"/>
        <v>6</v>
      </c>
      <c r="B475" s="9"/>
      <c r="C475" s="2" t="s">
        <v>300</v>
      </c>
      <c r="D475" s="13">
        <v>100000</v>
      </c>
      <c r="E475" s="38"/>
      <c r="F475" s="6"/>
    </row>
    <row r="476" spans="1:6" x14ac:dyDescent="0.3">
      <c r="A476" s="23">
        <f t="shared" si="29"/>
        <v>7</v>
      </c>
      <c r="B476" s="9"/>
      <c r="C476" s="9" t="s">
        <v>301</v>
      </c>
      <c r="D476" s="13">
        <v>75000</v>
      </c>
      <c r="E476" s="6"/>
      <c r="F476" s="6"/>
    </row>
    <row r="477" spans="1:6" ht="15" customHeight="1" x14ac:dyDescent="0.3">
      <c r="A477" s="23">
        <f t="shared" si="29"/>
        <v>8</v>
      </c>
      <c r="B477" s="9"/>
      <c r="C477" s="2" t="s">
        <v>302</v>
      </c>
      <c r="D477" s="13">
        <v>35000</v>
      </c>
      <c r="E477" s="6"/>
      <c r="F477" s="6"/>
    </row>
    <row r="478" spans="1:6" ht="15" customHeight="1" x14ac:dyDescent="0.3">
      <c r="A478" s="23">
        <f t="shared" si="29"/>
        <v>9</v>
      </c>
      <c r="B478" s="9"/>
      <c r="C478" s="2" t="s">
        <v>303</v>
      </c>
      <c r="D478" s="13">
        <f>SUM(7000+3000)</f>
        <v>10000</v>
      </c>
      <c r="E478" s="38" t="s">
        <v>0</v>
      </c>
      <c r="F478" s="6"/>
    </row>
    <row r="479" spans="1:6" x14ac:dyDescent="0.3">
      <c r="A479" s="23">
        <f t="shared" si="29"/>
        <v>10</v>
      </c>
      <c r="B479" s="9"/>
      <c r="C479" s="2" t="s">
        <v>304</v>
      </c>
      <c r="D479" s="11">
        <v>10000</v>
      </c>
      <c r="E479" s="38">
        <f>SUM(D476:D479)</f>
        <v>130000</v>
      </c>
      <c r="F479" s="6"/>
    </row>
    <row r="480" spans="1:6" x14ac:dyDescent="0.3">
      <c r="A480" s="23">
        <f t="shared" si="29"/>
        <v>11</v>
      </c>
      <c r="B480" s="9"/>
      <c r="C480" s="2" t="s">
        <v>305</v>
      </c>
      <c r="D480" s="11">
        <f>SUM(10000+5000+2500)</f>
        <v>17500</v>
      </c>
      <c r="E480" s="38"/>
      <c r="F480" s="6"/>
    </row>
    <row r="481" spans="1:6" ht="15" customHeight="1" x14ac:dyDescent="0.3">
      <c r="A481" s="23">
        <f t="shared" si="29"/>
        <v>12</v>
      </c>
      <c r="B481" s="9"/>
      <c r="C481" s="9" t="s">
        <v>306</v>
      </c>
      <c r="D481" s="13">
        <v>10000</v>
      </c>
      <c r="E481" s="6"/>
      <c r="F481" s="6"/>
    </row>
    <row r="482" spans="1:6" ht="15" customHeight="1" x14ac:dyDescent="0.3">
      <c r="A482" s="23">
        <f t="shared" si="29"/>
        <v>13</v>
      </c>
      <c r="B482" s="9" t="s">
        <v>0</v>
      </c>
      <c r="C482" s="9" t="s">
        <v>307</v>
      </c>
      <c r="D482" s="13">
        <f>SUM(150000-150000)</f>
        <v>0</v>
      </c>
      <c r="E482" s="6"/>
      <c r="F482" s="6"/>
    </row>
    <row r="483" spans="1:6" ht="15" customHeight="1" x14ac:dyDescent="0.3">
      <c r="A483" s="23">
        <f t="shared" si="29"/>
        <v>14</v>
      </c>
      <c r="B483" s="41"/>
      <c r="C483" s="9" t="s">
        <v>308</v>
      </c>
      <c r="D483" s="13">
        <v>25000</v>
      </c>
      <c r="E483" s="4"/>
      <c r="F483" s="6"/>
    </row>
    <row r="484" spans="1:6" ht="15" customHeight="1" x14ac:dyDescent="0.3">
      <c r="A484" s="23">
        <f t="shared" si="29"/>
        <v>15</v>
      </c>
      <c r="B484" s="41"/>
      <c r="C484" s="9" t="s">
        <v>309</v>
      </c>
      <c r="D484" s="13">
        <v>25000</v>
      </c>
      <c r="E484" s="4">
        <f>SUM(D481:D484)</f>
        <v>60000</v>
      </c>
      <c r="F484" s="6"/>
    </row>
    <row r="485" spans="1:6" ht="15" customHeight="1" x14ac:dyDescent="0.3">
      <c r="A485" s="23">
        <f t="shared" si="29"/>
        <v>16</v>
      </c>
      <c r="B485" s="41"/>
      <c r="C485" s="9" t="s">
        <v>310</v>
      </c>
      <c r="D485" s="13">
        <v>20000</v>
      </c>
      <c r="E485" s="4"/>
      <c r="F485" s="6"/>
    </row>
    <row r="486" spans="1:6" x14ac:dyDescent="0.3">
      <c r="A486" s="23">
        <f t="shared" si="29"/>
        <v>17</v>
      </c>
      <c r="B486" s="9"/>
      <c r="C486" s="2" t="s">
        <v>311</v>
      </c>
      <c r="D486" s="13">
        <v>7500</v>
      </c>
      <c r="E486" s="6"/>
      <c r="F486" s="6"/>
    </row>
    <row r="487" spans="1:6" x14ac:dyDescent="0.3">
      <c r="A487" s="23">
        <f t="shared" si="29"/>
        <v>18</v>
      </c>
      <c r="B487" s="9"/>
      <c r="C487" s="2" t="s">
        <v>312</v>
      </c>
      <c r="D487" s="11">
        <v>18750</v>
      </c>
      <c r="E487" s="6"/>
      <c r="F487" s="6"/>
    </row>
    <row r="488" spans="1:6" x14ac:dyDescent="0.3">
      <c r="A488" s="23">
        <f t="shared" si="29"/>
        <v>19</v>
      </c>
      <c r="B488" s="41"/>
      <c r="C488" s="2" t="s">
        <v>313</v>
      </c>
      <c r="D488" s="13">
        <f>SUM(7875+2125)</f>
        <v>10000</v>
      </c>
      <c r="E488" s="4"/>
      <c r="F488" s="6"/>
    </row>
    <row r="489" spans="1:6" x14ac:dyDescent="0.3">
      <c r="A489" s="23">
        <f t="shared" ref="A489:A495" si="30">ROW(A21)</f>
        <v>21</v>
      </c>
      <c r="B489" s="9"/>
      <c r="C489" s="2" t="s">
        <v>314</v>
      </c>
      <c r="D489" s="13">
        <f>SUM(7875+2125)</f>
        <v>10000</v>
      </c>
      <c r="E489" s="6"/>
      <c r="F489" s="6"/>
    </row>
    <row r="490" spans="1:6" x14ac:dyDescent="0.3">
      <c r="A490" s="23">
        <f t="shared" si="30"/>
        <v>22</v>
      </c>
      <c r="B490" s="9"/>
      <c r="C490" s="2" t="s">
        <v>315</v>
      </c>
      <c r="D490" s="13">
        <f>SUM(7875+2125)</f>
        <v>10000</v>
      </c>
      <c r="E490" s="6"/>
      <c r="F490" s="6"/>
    </row>
    <row r="491" spans="1:6" x14ac:dyDescent="0.3">
      <c r="A491" s="23">
        <f t="shared" si="30"/>
        <v>23</v>
      </c>
      <c r="B491" s="41"/>
      <c r="C491" s="2" t="s">
        <v>316</v>
      </c>
      <c r="D491" s="13">
        <v>10000</v>
      </c>
      <c r="E491" s="4"/>
      <c r="F491" s="6"/>
    </row>
    <row r="492" spans="1:6" x14ac:dyDescent="0.3">
      <c r="A492" s="23">
        <f t="shared" si="30"/>
        <v>24</v>
      </c>
      <c r="B492" s="9"/>
      <c r="C492" s="2" t="s">
        <v>317</v>
      </c>
      <c r="D492" s="13">
        <f>SUM(7875+2125)</f>
        <v>10000</v>
      </c>
      <c r="E492" s="6"/>
      <c r="F492" s="6"/>
    </row>
    <row r="493" spans="1:6" ht="15" customHeight="1" x14ac:dyDescent="0.3">
      <c r="A493" s="23">
        <f t="shared" si="30"/>
        <v>25</v>
      </c>
      <c r="B493" s="41"/>
      <c r="C493" s="39" t="s">
        <v>318</v>
      </c>
      <c r="D493" s="13">
        <f>SUM(5625+1875+2500)</f>
        <v>10000</v>
      </c>
      <c r="E493" s="4"/>
      <c r="F493" s="6"/>
    </row>
    <row r="494" spans="1:6" x14ac:dyDescent="0.3">
      <c r="A494" s="23">
        <f t="shared" si="30"/>
        <v>26</v>
      </c>
      <c r="B494" s="9" t="s">
        <v>0</v>
      </c>
      <c r="C494" s="2" t="s">
        <v>319</v>
      </c>
      <c r="D494" s="11">
        <f>SUM(112500+37500)</f>
        <v>150000</v>
      </c>
      <c r="E494" s="6"/>
      <c r="F494" s="6"/>
    </row>
    <row r="495" spans="1:6" x14ac:dyDescent="0.3">
      <c r="A495" s="23">
        <f t="shared" si="30"/>
        <v>27</v>
      </c>
      <c r="B495" s="9"/>
      <c r="C495" s="2" t="s">
        <v>320</v>
      </c>
      <c r="D495" s="11">
        <f>SUM(18750+6250)</f>
        <v>25000</v>
      </c>
      <c r="E495" s="6"/>
      <c r="F495" s="6"/>
    </row>
    <row r="496" spans="1:6" x14ac:dyDescent="0.3">
      <c r="A496" s="23">
        <f t="shared" ref="A496:A516" si="31">ROW(A28)</f>
        <v>28</v>
      </c>
      <c r="B496" s="41"/>
      <c r="C496" s="2" t="s">
        <v>321</v>
      </c>
      <c r="D496" s="13">
        <v>3750</v>
      </c>
      <c r="F496" s="6"/>
    </row>
    <row r="497" spans="1:6" x14ac:dyDescent="0.3">
      <c r="A497" s="23">
        <f t="shared" si="31"/>
        <v>29</v>
      </c>
      <c r="B497" s="41"/>
      <c r="C497" s="39" t="s">
        <v>322</v>
      </c>
      <c r="D497" s="11">
        <f>SUM(150000)</f>
        <v>150000</v>
      </c>
      <c r="F497" s="6"/>
    </row>
    <row r="498" spans="1:6" x14ac:dyDescent="0.3">
      <c r="A498" s="23">
        <f t="shared" si="31"/>
        <v>30</v>
      </c>
      <c r="B498" s="9" t="s">
        <v>0</v>
      </c>
      <c r="C498" s="2" t="s">
        <v>323</v>
      </c>
      <c r="D498" s="13">
        <f>SUM(18750+6250)</f>
        <v>25000</v>
      </c>
      <c r="F498" s="6"/>
    </row>
    <row r="499" spans="1:6" x14ac:dyDescent="0.3">
      <c r="A499" s="23">
        <f t="shared" si="31"/>
        <v>31</v>
      </c>
      <c r="B499" s="9"/>
      <c r="C499" s="2" t="s">
        <v>324</v>
      </c>
      <c r="D499" s="11">
        <f>SUM(7500+2500)</f>
        <v>10000</v>
      </c>
      <c r="E499" s="4"/>
      <c r="F499" s="6"/>
    </row>
    <row r="500" spans="1:6" x14ac:dyDescent="0.3">
      <c r="A500" s="23">
        <f t="shared" si="31"/>
        <v>32</v>
      </c>
      <c r="B500" s="9"/>
      <c r="C500" s="2" t="s">
        <v>325</v>
      </c>
      <c r="D500" s="11">
        <v>5000</v>
      </c>
      <c r="E500" s="4"/>
      <c r="F500" s="6"/>
    </row>
    <row r="501" spans="1:6" x14ac:dyDescent="0.3">
      <c r="A501" s="23">
        <f t="shared" si="31"/>
        <v>33</v>
      </c>
      <c r="B501" s="41"/>
      <c r="C501" s="2" t="s">
        <v>326</v>
      </c>
      <c r="D501" s="13">
        <f>SUM(5625+1875)</f>
        <v>7500</v>
      </c>
      <c r="E501" s="6"/>
      <c r="F501" s="6"/>
    </row>
    <row r="502" spans="1:6" x14ac:dyDescent="0.3">
      <c r="A502" s="23">
        <f t="shared" si="31"/>
        <v>34</v>
      </c>
      <c r="B502" s="41"/>
      <c r="C502" s="2" t="s">
        <v>327</v>
      </c>
      <c r="D502" s="13">
        <f>SUM(5625-5625)</f>
        <v>0</v>
      </c>
      <c r="E502" s="38"/>
      <c r="F502" s="6"/>
    </row>
    <row r="503" spans="1:6" x14ac:dyDescent="0.3">
      <c r="A503" s="23">
        <f t="shared" si="31"/>
        <v>35</v>
      </c>
      <c r="B503" s="41"/>
      <c r="C503" s="2" t="s">
        <v>328</v>
      </c>
      <c r="D503" s="11">
        <f>SUM(37500+12500)</f>
        <v>50000</v>
      </c>
      <c r="E503" s="6"/>
      <c r="F503" s="6"/>
    </row>
    <row r="504" spans="1:6" x14ac:dyDescent="0.3">
      <c r="A504" s="23">
        <f t="shared" si="31"/>
        <v>36</v>
      </c>
      <c r="B504" s="41"/>
      <c r="C504" s="2" t="s">
        <v>329</v>
      </c>
      <c r="D504" s="11">
        <f>SUM(37500+12500)</f>
        <v>50000</v>
      </c>
      <c r="E504" s="6"/>
      <c r="F504" s="6"/>
    </row>
    <row r="505" spans="1:6" ht="15" customHeight="1" x14ac:dyDescent="0.3">
      <c r="A505" s="23">
        <f t="shared" si="31"/>
        <v>37</v>
      </c>
      <c r="B505" s="41"/>
      <c r="C505" s="2" t="s">
        <v>330</v>
      </c>
      <c r="D505" s="13">
        <v>5625</v>
      </c>
      <c r="E505" s="6"/>
      <c r="F505" s="6"/>
    </row>
    <row r="506" spans="1:6" x14ac:dyDescent="0.3">
      <c r="A506" s="23">
        <f t="shared" si="31"/>
        <v>38</v>
      </c>
      <c r="B506" s="41"/>
      <c r="C506" s="2" t="s">
        <v>331</v>
      </c>
      <c r="D506" s="13">
        <v>9000</v>
      </c>
      <c r="E506" s="6"/>
      <c r="F506" s="6"/>
    </row>
    <row r="507" spans="1:6" x14ac:dyDescent="0.3">
      <c r="A507" s="23">
        <f t="shared" si="31"/>
        <v>39</v>
      </c>
      <c r="B507" s="41"/>
      <c r="C507" s="2" t="s">
        <v>332</v>
      </c>
      <c r="D507" s="11">
        <f>SUM(15000+5000)</f>
        <v>20000</v>
      </c>
      <c r="E507" s="6"/>
      <c r="F507" s="6"/>
    </row>
    <row r="508" spans="1:6" x14ac:dyDescent="0.3">
      <c r="A508" s="23">
        <f t="shared" si="31"/>
        <v>40</v>
      </c>
      <c r="B508" s="41"/>
      <c r="C508" s="2" t="s">
        <v>333</v>
      </c>
      <c r="D508" s="11">
        <v>12000</v>
      </c>
      <c r="E508" s="6"/>
      <c r="F508" s="6"/>
    </row>
    <row r="509" spans="1:6" x14ac:dyDescent="0.3">
      <c r="A509" s="23">
        <f t="shared" si="31"/>
        <v>41</v>
      </c>
      <c r="B509" s="41"/>
      <c r="C509" s="2" t="s">
        <v>334</v>
      </c>
      <c r="D509" s="11">
        <v>5000</v>
      </c>
      <c r="E509" s="6"/>
      <c r="F509" s="6"/>
    </row>
    <row r="510" spans="1:6" x14ac:dyDescent="0.3">
      <c r="A510" s="23">
        <f t="shared" si="31"/>
        <v>42</v>
      </c>
      <c r="B510" s="41"/>
      <c r="C510" s="2" t="s">
        <v>335</v>
      </c>
      <c r="D510" s="11">
        <v>5000</v>
      </c>
      <c r="E510" s="6"/>
      <c r="F510" s="6"/>
    </row>
    <row r="511" spans="1:6" x14ac:dyDescent="0.3">
      <c r="A511" s="23">
        <f t="shared" si="31"/>
        <v>43</v>
      </c>
      <c r="B511" s="41"/>
      <c r="C511" s="2" t="s">
        <v>336</v>
      </c>
      <c r="D511" s="11">
        <f>SUM(5000+5000)</f>
        <v>10000</v>
      </c>
      <c r="E511" s="6"/>
      <c r="F511" s="6"/>
    </row>
    <row r="512" spans="1:6" ht="15" customHeight="1" x14ac:dyDescent="0.3">
      <c r="A512" s="23">
        <f t="shared" si="31"/>
        <v>44</v>
      </c>
      <c r="B512" s="9"/>
      <c r="C512" s="2" t="s">
        <v>337</v>
      </c>
      <c r="D512" s="13">
        <v>10000</v>
      </c>
      <c r="E512" s="6"/>
      <c r="F512" s="6"/>
    </row>
    <row r="513" spans="1:6" x14ac:dyDescent="0.3">
      <c r="A513" s="23">
        <f t="shared" si="31"/>
        <v>45</v>
      </c>
      <c r="B513" s="9"/>
      <c r="C513" s="2" t="s">
        <v>338</v>
      </c>
      <c r="D513" s="13">
        <f>SUM(5625+1875+2500)</f>
        <v>10000</v>
      </c>
      <c r="E513" s="6"/>
      <c r="F513" s="6"/>
    </row>
    <row r="514" spans="1:6" x14ac:dyDescent="0.3">
      <c r="A514" s="23">
        <f t="shared" si="31"/>
        <v>46</v>
      </c>
      <c r="B514" s="9"/>
      <c r="C514" s="2" t="s">
        <v>339</v>
      </c>
      <c r="D514" s="13">
        <f>SUM(7500+2500)</f>
        <v>10000</v>
      </c>
      <c r="E514" s="6"/>
      <c r="F514" s="6"/>
    </row>
    <row r="515" spans="1:6" x14ac:dyDescent="0.3">
      <c r="A515" s="23">
        <f t="shared" si="31"/>
        <v>47</v>
      </c>
      <c r="B515" s="9"/>
      <c r="C515" s="2" t="s">
        <v>340</v>
      </c>
      <c r="D515" s="11">
        <f>SUM(7500+2500)</f>
        <v>10000</v>
      </c>
      <c r="E515" s="6"/>
      <c r="F515" s="6"/>
    </row>
    <row r="516" spans="1:6" x14ac:dyDescent="0.3">
      <c r="A516" s="23">
        <f t="shared" si="31"/>
        <v>48</v>
      </c>
      <c r="B516" s="41"/>
      <c r="C516" s="2" t="s">
        <v>341</v>
      </c>
      <c r="D516" s="13">
        <f>SUM(22500+2500)</f>
        <v>25000</v>
      </c>
      <c r="E516" s="6"/>
      <c r="F516" s="6"/>
    </row>
    <row r="517" spans="1:6" ht="15" customHeight="1" x14ac:dyDescent="0.3">
      <c r="A517" s="23">
        <f t="shared" ref="A517:A535" si="32">ROW(A1)</f>
        <v>1</v>
      </c>
      <c r="B517" s="9"/>
      <c r="C517" s="2" t="s">
        <v>342</v>
      </c>
      <c r="D517" s="13">
        <v>5625</v>
      </c>
      <c r="E517" s="6"/>
      <c r="F517" s="6"/>
    </row>
    <row r="518" spans="1:6" ht="15" customHeight="1" x14ac:dyDescent="0.3">
      <c r="A518" s="23">
        <f t="shared" si="32"/>
        <v>2</v>
      </c>
      <c r="B518" s="9"/>
      <c r="C518" s="2" t="s">
        <v>343</v>
      </c>
      <c r="D518" s="13">
        <v>300000</v>
      </c>
      <c r="E518" s="6"/>
      <c r="F518" s="6"/>
    </row>
    <row r="519" spans="1:6" ht="15" customHeight="1" x14ac:dyDescent="0.3">
      <c r="A519" s="23">
        <f t="shared" si="32"/>
        <v>3</v>
      </c>
      <c r="B519" s="9"/>
      <c r="C519" s="2" t="s">
        <v>344</v>
      </c>
      <c r="D519" s="11">
        <f>SUM(11250+3750+5000+5000)</f>
        <v>25000</v>
      </c>
      <c r="E519" s="6"/>
      <c r="F519" s="6"/>
    </row>
    <row r="520" spans="1:6" ht="15" customHeight="1" x14ac:dyDescent="0.3">
      <c r="A520" s="23">
        <f t="shared" si="32"/>
        <v>4</v>
      </c>
      <c r="B520" s="9"/>
      <c r="C520" s="2" t="s">
        <v>345</v>
      </c>
      <c r="D520" s="13">
        <v>50000</v>
      </c>
      <c r="E520" s="6"/>
      <c r="F520" s="6"/>
    </row>
    <row r="521" spans="1:6" x14ac:dyDescent="0.3">
      <c r="A521" s="23">
        <f t="shared" si="32"/>
        <v>5</v>
      </c>
      <c r="B521" s="41"/>
      <c r="C521" s="2" t="s">
        <v>346</v>
      </c>
      <c r="D521" s="13">
        <v>37500</v>
      </c>
      <c r="E521" s="4"/>
      <c r="F521" s="6"/>
    </row>
    <row r="522" spans="1:6" ht="15" customHeight="1" x14ac:dyDescent="0.3">
      <c r="A522" s="23">
        <f t="shared" si="32"/>
        <v>6</v>
      </c>
      <c r="B522" s="9"/>
      <c r="C522" s="2" t="s">
        <v>347</v>
      </c>
      <c r="D522" s="11">
        <f>SUM(18750+1250)</f>
        <v>20000</v>
      </c>
      <c r="E522" s="6"/>
      <c r="F522" s="6"/>
    </row>
    <row r="523" spans="1:6" ht="15" customHeight="1" x14ac:dyDescent="0.3">
      <c r="A523" s="23">
        <f t="shared" si="32"/>
        <v>7</v>
      </c>
      <c r="B523" s="9"/>
      <c r="C523" s="2" t="s">
        <v>348</v>
      </c>
      <c r="D523" s="11">
        <v>41250</v>
      </c>
      <c r="E523" s="6"/>
      <c r="F523" s="6"/>
    </row>
    <row r="524" spans="1:6" ht="15" customHeight="1" x14ac:dyDescent="0.3">
      <c r="A524" s="23">
        <f t="shared" si="32"/>
        <v>8</v>
      </c>
      <c r="B524" s="9"/>
      <c r="C524" s="2" t="s">
        <v>349</v>
      </c>
      <c r="D524" s="11">
        <f>SUM(7500+2500)</f>
        <v>10000</v>
      </c>
      <c r="E524" s="6"/>
      <c r="F524" s="6"/>
    </row>
    <row r="525" spans="1:6" ht="15" customHeight="1" x14ac:dyDescent="0.3">
      <c r="A525" s="23">
        <f t="shared" si="32"/>
        <v>9</v>
      </c>
      <c r="B525" s="9"/>
      <c r="C525" s="2" t="s">
        <v>350</v>
      </c>
      <c r="D525" s="11">
        <v>7500</v>
      </c>
      <c r="E525" s="6"/>
      <c r="F525" s="6"/>
    </row>
    <row r="526" spans="1:6" ht="15" customHeight="1" x14ac:dyDescent="0.3">
      <c r="A526" s="23">
        <f t="shared" si="32"/>
        <v>10</v>
      </c>
      <c r="B526" s="9"/>
      <c r="C526" s="2" t="s">
        <v>351</v>
      </c>
      <c r="D526" s="11">
        <f>SUM(41250+8750)</f>
        <v>50000</v>
      </c>
      <c r="E526" s="6"/>
      <c r="F526" s="6"/>
    </row>
    <row r="527" spans="1:6" ht="15" customHeight="1" x14ac:dyDescent="0.3">
      <c r="A527" s="23">
        <f t="shared" si="32"/>
        <v>11</v>
      </c>
      <c r="B527" s="9"/>
      <c r="C527" s="2" t="s">
        <v>352</v>
      </c>
      <c r="D527" s="11">
        <f>SUM(75000+25000)</f>
        <v>100000</v>
      </c>
      <c r="E527" s="6"/>
      <c r="F527" s="6"/>
    </row>
    <row r="528" spans="1:6" ht="15" customHeight="1" x14ac:dyDescent="0.3">
      <c r="A528" s="23">
        <f t="shared" si="32"/>
        <v>12</v>
      </c>
      <c r="B528" s="9"/>
      <c r="C528" s="2" t="s">
        <v>353</v>
      </c>
      <c r="D528" s="13">
        <v>7500</v>
      </c>
      <c r="E528" s="6"/>
      <c r="F528" s="6"/>
    </row>
    <row r="529" spans="1:6" ht="15" customHeight="1" x14ac:dyDescent="0.3">
      <c r="A529" s="23">
        <f t="shared" si="32"/>
        <v>13</v>
      </c>
      <c r="B529" s="9"/>
      <c r="C529" s="2" t="s">
        <v>354</v>
      </c>
      <c r="D529" s="13">
        <f>SUM(75000+25000)</f>
        <v>100000</v>
      </c>
      <c r="E529" s="6"/>
      <c r="F529" s="6"/>
    </row>
    <row r="530" spans="1:6" x14ac:dyDescent="0.3">
      <c r="A530" s="23">
        <f t="shared" si="32"/>
        <v>14</v>
      </c>
      <c r="B530" s="9"/>
      <c r="C530" s="2" t="s">
        <v>355</v>
      </c>
      <c r="D530" s="11">
        <v>7500</v>
      </c>
      <c r="E530" s="6"/>
      <c r="F530" s="6"/>
    </row>
    <row r="531" spans="1:6" ht="15" customHeight="1" x14ac:dyDescent="0.3">
      <c r="A531" s="23">
        <f t="shared" si="32"/>
        <v>15</v>
      </c>
      <c r="B531" s="9"/>
      <c r="C531" s="2" t="s">
        <v>356</v>
      </c>
      <c r="D531" s="11">
        <f>SUM(5250-5250+7000)</f>
        <v>7000</v>
      </c>
      <c r="E531" s="6"/>
      <c r="F531" s="6"/>
    </row>
    <row r="532" spans="1:6" x14ac:dyDescent="0.3">
      <c r="A532" s="23">
        <f t="shared" si="32"/>
        <v>16</v>
      </c>
      <c r="B532" s="41"/>
      <c r="C532" s="2" t="s">
        <v>357</v>
      </c>
      <c r="D532" s="11">
        <v>26250</v>
      </c>
      <c r="E532" s="4"/>
      <c r="F532" s="6"/>
    </row>
    <row r="533" spans="1:6" ht="15" customHeight="1" x14ac:dyDescent="0.3">
      <c r="A533" s="23">
        <f t="shared" si="32"/>
        <v>17</v>
      </c>
      <c r="B533" s="9"/>
      <c r="C533" s="2" t="s">
        <v>358</v>
      </c>
      <c r="D533" s="11">
        <f>SUM(11250-11250)</f>
        <v>0</v>
      </c>
      <c r="E533" s="6"/>
      <c r="F533" s="6"/>
    </row>
    <row r="534" spans="1:6" ht="15" customHeight="1" x14ac:dyDescent="0.3">
      <c r="A534" s="23">
        <f t="shared" si="32"/>
        <v>18</v>
      </c>
      <c r="B534" s="9"/>
      <c r="C534" s="2" t="s">
        <v>359</v>
      </c>
      <c r="D534" s="13">
        <f>SUM(37500+7500)</f>
        <v>45000</v>
      </c>
      <c r="E534" s="6"/>
      <c r="F534" s="6"/>
    </row>
    <row r="535" spans="1:6" x14ac:dyDescent="0.3">
      <c r="A535" s="23">
        <f t="shared" si="32"/>
        <v>19</v>
      </c>
      <c r="B535" s="9"/>
      <c r="C535" s="2" t="s">
        <v>360</v>
      </c>
      <c r="D535" s="13">
        <v>12000</v>
      </c>
      <c r="E535" s="6"/>
      <c r="F535" s="6"/>
    </row>
    <row r="536" spans="1:6" x14ac:dyDescent="0.3">
      <c r="A536" s="23">
        <f t="shared" ref="A536:A542" si="33">ROW(A21)</f>
        <v>21</v>
      </c>
      <c r="B536" s="9"/>
      <c r="C536" s="2" t="s">
        <v>361</v>
      </c>
      <c r="D536" s="13">
        <f>SUM(8000-8000)</f>
        <v>0</v>
      </c>
      <c r="E536" s="6"/>
      <c r="F536" s="6"/>
    </row>
    <row r="537" spans="1:6" x14ac:dyDescent="0.3">
      <c r="A537" s="23">
        <f t="shared" si="33"/>
        <v>22</v>
      </c>
      <c r="B537" s="9"/>
      <c r="C537" s="2" t="s">
        <v>362</v>
      </c>
      <c r="D537" s="13">
        <f>SUM(6000-6000)</f>
        <v>0</v>
      </c>
      <c r="E537" s="6"/>
      <c r="F537" s="6"/>
    </row>
    <row r="538" spans="1:6" ht="15" customHeight="1" x14ac:dyDescent="0.3">
      <c r="A538" s="23">
        <f t="shared" si="33"/>
        <v>23</v>
      </c>
      <c r="B538" s="9"/>
      <c r="C538" s="2" t="s">
        <v>363</v>
      </c>
      <c r="D538" s="13">
        <v>8000</v>
      </c>
      <c r="E538" s="6"/>
      <c r="F538" s="6"/>
    </row>
    <row r="539" spans="1:6" x14ac:dyDescent="0.3">
      <c r="A539" s="23">
        <f t="shared" si="33"/>
        <v>24</v>
      </c>
      <c r="B539" s="9"/>
      <c r="C539" s="2" t="s">
        <v>364</v>
      </c>
      <c r="D539" s="13">
        <v>6000</v>
      </c>
      <c r="E539" s="6"/>
      <c r="F539" s="6"/>
    </row>
    <row r="540" spans="1:6" x14ac:dyDescent="0.3">
      <c r="A540" s="23">
        <f t="shared" si="33"/>
        <v>25</v>
      </c>
      <c r="B540" s="9"/>
      <c r="C540" s="3" t="s">
        <v>365</v>
      </c>
      <c r="D540" s="13">
        <f>SUM(8000+2000)</f>
        <v>10000</v>
      </c>
      <c r="E540" s="6"/>
      <c r="F540" s="6"/>
    </row>
    <row r="541" spans="1:6" x14ac:dyDescent="0.3">
      <c r="A541" s="23">
        <f t="shared" si="33"/>
        <v>26</v>
      </c>
      <c r="B541" s="9"/>
      <c r="C541" s="2" t="s">
        <v>366</v>
      </c>
      <c r="D541" s="13">
        <v>8000</v>
      </c>
      <c r="E541" s="6"/>
      <c r="F541" s="6"/>
    </row>
    <row r="542" spans="1:6" x14ac:dyDescent="0.3">
      <c r="A542" s="23">
        <f t="shared" si="33"/>
        <v>27</v>
      </c>
      <c r="B542" s="9"/>
      <c r="C542" s="2" t="s">
        <v>367</v>
      </c>
      <c r="D542" s="13">
        <f>SUM(120000+30000)</f>
        <v>150000</v>
      </c>
      <c r="E542" s="6"/>
      <c r="F542" s="6"/>
    </row>
    <row r="543" spans="1:6" x14ac:dyDescent="0.3">
      <c r="A543" s="23">
        <f t="shared" ref="A543:A563" si="34">ROW(A28)</f>
        <v>28</v>
      </c>
      <c r="B543" s="9"/>
      <c r="C543" s="2" t="s">
        <v>368</v>
      </c>
      <c r="D543" s="13">
        <f>SUM(4000-4000)</f>
        <v>0</v>
      </c>
      <c r="E543" s="6"/>
      <c r="F543" s="6"/>
    </row>
    <row r="544" spans="1:6" ht="15" customHeight="1" x14ac:dyDescent="0.3">
      <c r="A544" s="23">
        <f t="shared" si="34"/>
        <v>29</v>
      </c>
      <c r="B544" s="9"/>
      <c r="C544" s="2" t="s">
        <v>369</v>
      </c>
      <c r="D544" s="13">
        <v>40000</v>
      </c>
      <c r="E544" s="6"/>
      <c r="F544" s="6"/>
    </row>
    <row r="545" spans="1:6" ht="15" customHeight="1" x14ac:dyDescent="0.3">
      <c r="A545" s="23">
        <f t="shared" si="34"/>
        <v>30</v>
      </c>
      <c r="B545" s="9"/>
      <c r="C545" s="2" t="s">
        <v>370</v>
      </c>
      <c r="D545" s="13">
        <f>SUM(16000+4000)</f>
        <v>20000</v>
      </c>
      <c r="E545" s="6"/>
      <c r="F545" s="6"/>
    </row>
    <row r="546" spans="1:6" ht="15" customHeight="1" x14ac:dyDescent="0.3">
      <c r="A546" s="23">
        <f t="shared" si="34"/>
        <v>31</v>
      </c>
      <c r="B546" s="9"/>
      <c r="C546" s="2" t="s">
        <v>371</v>
      </c>
      <c r="D546" s="13">
        <v>50000</v>
      </c>
      <c r="E546" s="6"/>
      <c r="F546" s="6"/>
    </row>
    <row r="547" spans="1:6" ht="15" customHeight="1" x14ac:dyDescent="0.3">
      <c r="A547" s="23">
        <f t="shared" si="34"/>
        <v>32</v>
      </c>
      <c r="B547" s="9"/>
      <c r="C547" s="2" t="s">
        <v>372</v>
      </c>
      <c r="D547" s="13">
        <v>50000</v>
      </c>
      <c r="E547" s="6"/>
      <c r="F547" s="6"/>
    </row>
    <row r="548" spans="1:6" ht="15" customHeight="1" x14ac:dyDescent="0.3">
      <c r="A548" s="23">
        <f t="shared" si="34"/>
        <v>33</v>
      </c>
      <c r="B548" s="9"/>
      <c r="C548" s="2" t="s">
        <v>373</v>
      </c>
      <c r="D548" s="13">
        <f>SUM(31500+3500)</f>
        <v>35000</v>
      </c>
      <c r="E548" s="6"/>
      <c r="F548" s="6"/>
    </row>
    <row r="549" spans="1:6" x14ac:dyDescent="0.3">
      <c r="A549" s="23">
        <f t="shared" si="34"/>
        <v>34</v>
      </c>
      <c r="B549" s="9"/>
      <c r="C549" s="2" t="s">
        <v>374</v>
      </c>
      <c r="D549" s="13">
        <v>5250</v>
      </c>
      <c r="E549" s="38">
        <f>SUM(D535:D549)</f>
        <v>394250</v>
      </c>
      <c r="F549" s="6"/>
    </row>
    <row r="550" spans="1:6" ht="15" customHeight="1" x14ac:dyDescent="0.3">
      <c r="A550" s="23">
        <f t="shared" si="34"/>
        <v>35</v>
      </c>
      <c r="B550" s="9"/>
      <c r="C550" s="2" t="s">
        <v>375</v>
      </c>
      <c r="D550" s="11">
        <v>250000</v>
      </c>
      <c r="E550" s="6"/>
      <c r="F550" s="6"/>
    </row>
    <row r="551" spans="1:6" ht="15" customHeight="1" x14ac:dyDescent="0.3">
      <c r="A551" s="23">
        <f t="shared" si="34"/>
        <v>36</v>
      </c>
      <c r="B551" s="9"/>
      <c r="C551" s="2" t="s">
        <v>376</v>
      </c>
      <c r="D551" s="11">
        <v>65000</v>
      </c>
      <c r="E551" s="38"/>
      <c r="F551" s="28"/>
    </row>
    <row r="552" spans="1:6" ht="15" customHeight="1" x14ac:dyDescent="0.3">
      <c r="A552" s="23">
        <f t="shared" si="34"/>
        <v>37</v>
      </c>
      <c r="B552" s="9"/>
      <c r="C552" s="2" t="s">
        <v>377</v>
      </c>
      <c r="D552" s="11">
        <f>SUM(75000+75000)</f>
        <v>150000</v>
      </c>
      <c r="E552" s="38"/>
      <c r="F552" s="28"/>
    </row>
    <row r="553" spans="1:6" ht="15" customHeight="1" x14ac:dyDescent="0.3">
      <c r="A553" s="23">
        <f t="shared" si="34"/>
        <v>38</v>
      </c>
      <c r="B553" s="9"/>
      <c r="C553" s="2" t="s">
        <v>378</v>
      </c>
      <c r="D553" s="11">
        <v>175000</v>
      </c>
      <c r="E553" s="6"/>
      <c r="F553" s="6"/>
    </row>
    <row r="554" spans="1:6" ht="15" customHeight="1" x14ac:dyDescent="0.3">
      <c r="A554" s="23">
        <f t="shared" si="34"/>
        <v>39</v>
      </c>
      <c r="B554" s="9"/>
      <c r="C554" s="2" t="s">
        <v>379</v>
      </c>
      <c r="D554" s="11">
        <v>175000</v>
      </c>
      <c r="E554" s="6"/>
      <c r="F554" s="6"/>
    </row>
    <row r="555" spans="1:6" ht="15" customHeight="1" x14ac:dyDescent="0.3">
      <c r="A555" s="23">
        <f t="shared" si="34"/>
        <v>40</v>
      </c>
      <c r="B555" s="9"/>
      <c r="C555" s="9" t="s">
        <v>380</v>
      </c>
      <c r="D555" s="11">
        <v>15000</v>
      </c>
      <c r="E555" s="28">
        <f>SUM(D550:D555)</f>
        <v>830000</v>
      </c>
      <c r="F555" s="6"/>
    </row>
    <row r="556" spans="1:6" x14ac:dyDescent="0.3">
      <c r="A556" s="23">
        <f t="shared" si="34"/>
        <v>41</v>
      </c>
      <c r="B556" s="9"/>
      <c r="C556" s="1" t="s">
        <v>381</v>
      </c>
      <c r="D556" s="13">
        <f>SUM(D430:D555)</f>
        <v>7208500</v>
      </c>
      <c r="E556" s="6"/>
      <c r="F556" s="6"/>
    </row>
    <row r="557" spans="1:6" x14ac:dyDescent="0.3">
      <c r="A557" s="23">
        <f t="shared" si="34"/>
        <v>42</v>
      </c>
      <c r="B557" s="9"/>
      <c r="C557" s="2"/>
      <c r="D557" s="13"/>
      <c r="E557" s="6"/>
      <c r="F557" s="6"/>
    </row>
    <row r="558" spans="1:6" x14ac:dyDescent="0.3">
      <c r="A558" s="23">
        <f t="shared" si="34"/>
        <v>43</v>
      </c>
      <c r="B558" s="9"/>
      <c r="C558" s="2" t="s">
        <v>382</v>
      </c>
      <c r="D558" s="13">
        <f>SUM(D427,D556)</f>
        <v>48830871.640000001</v>
      </c>
    </row>
    <row r="559" spans="1:6" x14ac:dyDescent="0.3">
      <c r="A559" s="23">
        <f t="shared" si="34"/>
        <v>44</v>
      </c>
      <c r="B559" s="9"/>
      <c r="C559" s="2"/>
      <c r="D559" s="13"/>
    </row>
    <row r="560" spans="1:6" x14ac:dyDescent="0.3">
      <c r="A560" s="23">
        <f t="shared" si="34"/>
        <v>45</v>
      </c>
      <c r="B560" s="9"/>
      <c r="C560" s="2"/>
      <c r="D560" s="13"/>
    </row>
    <row r="561" spans="1:4" x14ac:dyDescent="0.3">
      <c r="A561" s="23">
        <f t="shared" si="34"/>
        <v>46</v>
      </c>
      <c r="B561" s="56" t="s">
        <v>383</v>
      </c>
      <c r="C561" s="56"/>
      <c r="D561" s="13"/>
    </row>
    <row r="562" spans="1:4" x14ac:dyDescent="0.3">
      <c r="A562" s="23">
        <f t="shared" si="34"/>
        <v>47</v>
      </c>
      <c r="B562" s="9" t="s">
        <v>384</v>
      </c>
      <c r="C562" s="9" t="s">
        <v>385</v>
      </c>
      <c r="D562" s="13">
        <f>SUM(1202816-10400)</f>
        <v>1192416</v>
      </c>
    </row>
    <row r="563" spans="1:4" x14ac:dyDescent="0.3">
      <c r="A563" s="23">
        <f t="shared" si="34"/>
        <v>48</v>
      </c>
      <c r="B563" s="9" t="s">
        <v>386</v>
      </c>
      <c r="C563" s="9" t="s">
        <v>387</v>
      </c>
      <c r="D563" s="13">
        <v>90000</v>
      </c>
    </row>
    <row r="564" spans="1:4" x14ac:dyDescent="0.3">
      <c r="A564" s="23">
        <f t="shared" ref="A564:A582" si="35">ROW(A1)</f>
        <v>1</v>
      </c>
      <c r="B564" s="9" t="s">
        <v>388</v>
      </c>
      <c r="C564" s="9" t="s">
        <v>389</v>
      </c>
      <c r="D564" s="13">
        <v>30000</v>
      </c>
    </row>
    <row r="565" spans="1:4" x14ac:dyDescent="0.3">
      <c r="A565" s="23">
        <f t="shared" si="35"/>
        <v>2</v>
      </c>
      <c r="B565" s="9" t="s">
        <v>390</v>
      </c>
      <c r="C565" s="9" t="s">
        <v>391</v>
      </c>
      <c r="D565" s="13">
        <v>28000</v>
      </c>
    </row>
    <row r="566" spans="1:4" x14ac:dyDescent="0.3">
      <c r="A566" s="23">
        <f t="shared" si="35"/>
        <v>3</v>
      </c>
      <c r="B566" s="9" t="s">
        <v>392</v>
      </c>
      <c r="C566" s="9" t="s">
        <v>393</v>
      </c>
      <c r="D566" s="13">
        <v>25500</v>
      </c>
    </row>
    <row r="567" spans="1:4" x14ac:dyDescent="0.3">
      <c r="A567" s="23">
        <f t="shared" si="35"/>
        <v>4</v>
      </c>
      <c r="B567" s="9" t="s">
        <v>394</v>
      </c>
      <c r="C567" s="9" t="s">
        <v>395</v>
      </c>
      <c r="D567" s="13">
        <v>17000</v>
      </c>
    </row>
    <row r="568" spans="1:4" x14ac:dyDescent="0.3">
      <c r="A568" s="23">
        <f t="shared" si="35"/>
        <v>5</v>
      </c>
      <c r="B568" s="9" t="s">
        <v>396</v>
      </c>
      <c r="C568" s="9" t="s">
        <v>397</v>
      </c>
      <c r="D568" s="13">
        <v>16000</v>
      </c>
    </row>
    <row r="569" spans="1:4" x14ac:dyDescent="0.3">
      <c r="A569" s="23">
        <f t="shared" si="35"/>
        <v>6</v>
      </c>
      <c r="B569" s="9" t="s">
        <v>398</v>
      </c>
      <c r="C569" s="9" t="s">
        <v>399</v>
      </c>
      <c r="D569" s="13">
        <v>12000</v>
      </c>
    </row>
    <row r="570" spans="1:4" x14ac:dyDescent="0.3">
      <c r="A570" s="23">
        <f t="shared" si="35"/>
        <v>7</v>
      </c>
      <c r="B570" s="9" t="s">
        <v>400</v>
      </c>
      <c r="C570" s="9" t="s">
        <v>401</v>
      </c>
      <c r="D570" s="13">
        <v>10000</v>
      </c>
    </row>
    <row r="571" spans="1:4" x14ac:dyDescent="0.3">
      <c r="A571" s="23">
        <f t="shared" si="35"/>
        <v>8</v>
      </c>
      <c r="B571" s="9" t="s">
        <v>402</v>
      </c>
      <c r="C571" s="9" t="s">
        <v>403</v>
      </c>
      <c r="D571" s="13">
        <v>10000</v>
      </c>
    </row>
    <row r="572" spans="1:4" x14ac:dyDescent="0.3">
      <c r="A572" s="23">
        <f t="shared" si="35"/>
        <v>9</v>
      </c>
      <c r="B572" s="9" t="s">
        <v>404</v>
      </c>
      <c r="C572" s="9" t="s">
        <v>405</v>
      </c>
      <c r="D572" s="13">
        <v>10000</v>
      </c>
    </row>
    <row r="573" spans="1:4" x14ac:dyDescent="0.3">
      <c r="A573" s="23">
        <f t="shared" si="35"/>
        <v>10</v>
      </c>
      <c r="B573" s="9" t="s">
        <v>406</v>
      </c>
      <c r="C573" s="9" t="s">
        <v>407</v>
      </c>
      <c r="D573" s="13">
        <v>10000</v>
      </c>
    </row>
    <row r="574" spans="1:4" x14ac:dyDescent="0.3">
      <c r="A574" s="23">
        <f t="shared" si="35"/>
        <v>11</v>
      </c>
      <c r="B574" s="9" t="s">
        <v>408</v>
      </c>
      <c r="C574" s="9" t="s">
        <v>409</v>
      </c>
      <c r="D574" s="13">
        <v>10000</v>
      </c>
    </row>
    <row r="575" spans="1:4" x14ac:dyDescent="0.3">
      <c r="A575" s="23">
        <f t="shared" si="35"/>
        <v>12</v>
      </c>
      <c r="B575" s="9" t="s">
        <v>410</v>
      </c>
      <c r="C575" s="9" t="s">
        <v>411</v>
      </c>
      <c r="D575" s="13">
        <v>10000</v>
      </c>
    </row>
    <row r="576" spans="1:4" x14ac:dyDescent="0.3">
      <c r="A576" s="23">
        <f t="shared" si="35"/>
        <v>13</v>
      </c>
      <c r="B576" s="9" t="s">
        <v>412</v>
      </c>
      <c r="C576" s="9" t="s">
        <v>413</v>
      </c>
      <c r="D576" s="13">
        <v>10000</v>
      </c>
    </row>
    <row r="577" spans="1:6" x14ac:dyDescent="0.3">
      <c r="A577" s="23">
        <f t="shared" si="35"/>
        <v>14</v>
      </c>
      <c r="B577" s="9" t="s">
        <v>414</v>
      </c>
      <c r="C577" s="9" t="s">
        <v>415</v>
      </c>
      <c r="D577" s="13">
        <v>10000</v>
      </c>
    </row>
    <row r="578" spans="1:6" x14ac:dyDescent="0.3">
      <c r="A578" s="23">
        <f t="shared" si="35"/>
        <v>15</v>
      </c>
      <c r="B578" s="9" t="s">
        <v>416</v>
      </c>
      <c r="C578" s="9" t="s">
        <v>417</v>
      </c>
      <c r="D578" s="13">
        <v>10000</v>
      </c>
    </row>
    <row r="579" spans="1:6" x14ac:dyDescent="0.3">
      <c r="A579" s="23">
        <f t="shared" si="35"/>
        <v>16</v>
      </c>
      <c r="B579" s="9" t="s">
        <v>418</v>
      </c>
      <c r="C579" s="9" t="s">
        <v>419</v>
      </c>
      <c r="D579" s="13">
        <v>8000</v>
      </c>
    </row>
    <row r="580" spans="1:6" x14ac:dyDescent="0.3">
      <c r="A580" s="23">
        <f t="shared" si="35"/>
        <v>17</v>
      </c>
      <c r="B580" s="9" t="s">
        <v>420</v>
      </c>
      <c r="C580" s="9" t="s">
        <v>421</v>
      </c>
      <c r="D580" s="13">
        <v>8000</v>
      </c>
    </row>
    <row r="581" spans="1:6" x14ac:dyDescent="0.3">
      <c r="A581" s="23">
        <f t="shared" si="35"/>
        <v>18</v>
      </c>
      <c r="B581" s="9" t="s">
        <v>422</v>
      </c>
      <c r="C581" s="9" t="s">
        <v>423</v>
      </c>
      <c r="D581" s="13">
        <v>8000</v>
      </c>
      <c r="E581" s="4"/>
      <c r="F581" s="6"/>
    </row>
    <row r="582" spans="1:6" x14ac:dyDescent="0.3">
      <c r="A582" s="23">
        <f t="shared" si="35"/>
        <v>19</v>
      </c>
      <c r="B582" s="9" t="s">
        <v>424</v>
      </c>
      <c r="C582" s="9" t="s">
        <v>425</v>
      </c>
      <c r="D582" s="13">
        <v>8000</v>
      </c>
      <c r="E582" s="4"/>
      <c r="F582" s="6"/>
    </row>
    <row r="583" spans="1:6" x14ac:dyDescent="0.3">
      <c r="A583" s="23">
        <f t="shared" ref="A583:A589" si="36">ROW(A21)</f>
        <v>21</v>
      </c>
      <c r="B583" s="9" t="s">
        <v>426</v>
      </c>
      <c r="C583" s="9" t="s">
        <v>427</v>
      </c>
      <c r="D583" s="13">
        <v>6250</v>
      </c>
      <c r="E583" s="6"/>
      <c r="F583" s="6"/>
    </row>
    <row r="584" spans="1:6" x14ac:dyDescent="0.3">
      <c r="A584" s="23">
        <f t="shared" si="36"/>
        <v>22</v>
      </c>
      <c r="B584" s="9" t="s">
        <v>428</v>
      </c>
      <c r="C584" s="9" t="s">
        <v>429</v>
      </c>
      <c r="D584" s="13">
        <v>4000</v>
      </c>
      <c r="E584" s="6"/>
      <c r="F584" s="6"/>
    </row>
    <row r="585" spans="1:6" x14ac:dyDescent="0.3">
      <c r="A585" s="23">
        <f t="shared" si="36"/>
        <v>23</v>
      </c>
      <c r="B585" s="9" t="s">
        <v>430</v>
      </c>
      <c r="C585" s="9" t="s">
        <v>431</v>
      </c>
      <c r="D585" s="13">
        <v>4000</v>
      </c>
      <c r="E585" s="6"/>
      <c r="F585" s="6"/>
    </row>
    <row r="586" spans="1:6" x14ac:dyDescent="0.3">
      <c r="A586" s="23">
        <f t="shared" si="36"/>
        <v>24</v>
      </c>
      <c r="B586" s="9" t="s">
        <v>432</v>
      </c>
      <c r="C586" s="9" t="s">
        <v>433</v>
      </c>
      <c r="D586" s="13">
        <v>3000</v>
      </c>
      <c r="E586" s="6"/>
      <c r="F586" s="6"/>
    </row>
    <row r="587" spans="1:6" x14ac:dyDescent="0.3">
      <c r="A587" s="23">
        <f t="shared" si="36"/>
        <v>25</v>
      </c>
      <c r="B587" s="9" t="s">
        <v>434</v>
      </c>
      <c r="C587" s="9" t="s">
        <v>435</v>
      </c>
      <c r="D587" s="13">
        <v>2400</v>
      </c>
      <c r="E587" s="4"/>
      <c r="F587" s="6"/>
    </row>
    <row r="588" spans="1:6" x14ac:dyDescent="0.3">
      <c r="A588" s="23">
        <f t="shared" si="36"/>
        <v>26</v>
      </c>
      <c r="B588" s="9" t="s">
        <v>436</v>
      </c>
      <c r="C588" s="9" t="s">
        <v>437</v>
      </c>
      <c r="D588" s="13">
        <v>2000</v>
      </c>
      <c r="E588" s="4"/>
      <c r="F588" s="6"/>
    </row>
    <row r="589" spans="1:6" x14ac:dyDescent="0.3">
      <c r="A589" s="23">
        <f t="shared" si="36"/>
        <v>27</v>
      </c>
      <c r="B589" s="9" t="s">
        <v>438</v>
      </c>
      <c r="C589" s="9" t="s">
        <v>439</v>
      </c>
      <c r="D589" s="13">
        <v>1000</v>
      </c>
      <c r="E589" s="6"/>
      <c r="F589" s="6"/>
    </row>
    <row r="590" spans="1:6" x14ac:dyDescent="0.3">
      <c r="A590" s="23">
        <f t="shared" ref="A590:A593" si="37">ROW(A28)</f>
        <v>28</v>
      </c>
      <c r="B590" s="9"/>
      <c r="C590" s="9" t="s">
        <v>440</v>
      </c>
      <c r="D590" s="17">
        <f>SUM(D562:D589)</f>
        <v>1555566</v>
      </c>
      <c r="E590" s="4"/>
      <c r="F590" s="6"/>
    </row>
    <row r="591" spans="1:6" x14ac:dyDescent="0.3">
      <c r="A591" s="23">
        <f t="shared" si="37"/>
        <v>29</v>
      </c>
      <c r="B591" s="9"/>
      <c r="C591" s="22" t="s">
        <v>441</v>
      </c>
      <c r="D591" s="17">
        <f>SUM(D558,D590)</f>
        <v>50386437.640000001</v>
      </c>
      <c r="E591" s="4"/>
      <c r="F591" s="6"/>
    </row>
    <row r="592" spans="1:6" x14ac:dyDescent="0.3">
      <c r="A592" s="23">
        <f t="shared" si="37"/>
        <v>30</v>
      </c>
      <c r="B592" s="9"/>
      <c r="C592" s="9"/>
      <c r="D592" s="17"/>
      <c r="E592" s="6"/>
      <c r="F592" s="6"/>
    </row>
    <row r="593" spans="1:6" x14ac:dyDescent="0.3">
      <c r="A593" s="23">
        <f t="shared" si="37"/>
        <v>31</v>
      </c>
      <c r="B593" s="18" t="s">
        <v>446</v>
      </c>
      <c r="C593" s="7"/>
      <c r="D593" s="7"/>
      <c r="E593" s="6"/>
      <c r="F593" s="6"/>
    </row>
    <row r="594" spans="1:6" x14ac:dyDescent="0.3">
      <c r="A594" s="23" t="s">
        <v>0</v>
      </c>
      <c r="E594" s="6"/>
      <c r="F594" s="6"/>
    </row>
    <row r="595" spans="1:6" x14ac:dyDescent="0.3">
      <c r="E595" s="4"/>
      <c r="F595" s="6"/>
    </row>
    <row r="596" spans="1:6" x14ac:dyDescent="0.3">
      <c r="E596" s="4"/>
      <c r="F596" s="6"/>
    </row>
    <row r="597" spans="1:6" x14ac:dyDescent="0.3">
      <c r="E597" s="4"/>
      <c r="F597" s="6"/>
    </row>
    <row r="598" spans="1:6" x14ac:dyDescent="0.3">
      <c r="E598" s="4"/>
      <c r="F598" s="6"/>
    </row>
    <row r="599" spans="1:6" x14ac:dyDescent="0.3">
      <c r="E599" s="4"/>
      <c r="F599" s="6"/>
    </row>
    <row r="600" spans="1:6" x14ac:dyDescent="0.3">
      <c r="E600" s="4"/>
      <c r="F600" s="6"/>
    </row>
    <row r="601" spans="1:6" x14ac:dyDescent="0.3">
      <c r="E601" s="4"/>
      <c r="F601" s="6"/>
    </row>
    <row r="602" spans="1:6" x14ac:dyDescent="0.3">
      <c r="E602" s="4"/>
      <c r="F602" s="6"/>
    </row>
    <row r="603" spans="1:6" x14ac:dyDescent="0.3">
      <c r="E603" s="4"/>
      <c r="F603" s="6"/>
    </row>
    <row r="604" spans="1:6" x14ac:dyDescent="0.3">
      <c r="E604" s="4"/>
      <c r="F604" s="6"/>
    </row>
    <row r="605" spans="1:6" x14ac:dyDescent="0.3">
      <c r="E605" s="6"/>
      <c r="F605" s="6"/>
    </row>
    <row r="606" spans="1:6" x14ac:dyDescent="0.3">
      <c r="E606" s="6"/>
      <c r="F606" s="6"/>
    </row>
    <row r="607" spans="1:6" x14ac:dyDescent="0.3">
      <c r="E607" s="6"/>
      <c r="F607" s="6"/>
    </row>
    <row r="608" spans="1:6" x14ac:dyDescent="0.3">
      <c r="E608" s="6"/>
      <c r="F608" s="6"/>
    </row>
    <row r="609" spans="5:6" x14ac:dyDescent="0.3">
      <c r="E609" s="6"/>
      <c r="F609" s="6"/>
    </row>
    <row r="610" spans="5:6" x14ac:dyDescent="0.3">
      <c r="E610" s="6"/>
      <c r="F610" s="6"/>
    </row>
    <row r="611" spans="5:6" x14ac:dyDescent="0.3">
      <c r="E611" s="4"/>
      <c r="F611" s="6"/>
    </row>
    <row r="612" spans="5:6" x14ac:dyDescent="0.3">
      <c r="E612" s="4"/>
      <c r="F612" s="6"/>
    </row>
    <row r="613" spans="5:6" x14ac:dyDescent="0.3">
      <c r="E613" s="6"/>
      <c r="F613" s="6"/>
    </row>
    <row r="615" spans="5:6" x14ac:dyDescent="0.3">
      <c r="E615" s="6"/>
      <c r="F615" s="6"/>
    </row>
    <row r="616" spans="5:6" x14ac:dyDescent="0.3">
      <c r="E616" s="6"/>
      <c r="F616" s="6"/>
    </row>
    <row r="617" spans="5:6" x14ac:dyDescent="0.3">
      <c r="E617" s="6"/>
      <c r="F617" s="6"/>
    </row>
    <row r="618" spans="5:6" x14ac:dyDescent="0.3">
      <c r="E618" s="6"/>
      <c r="F618" s="6"/>
    </row>
    <row r="619" spans="5:6" x14ac:dyDescent="0.3">
      <c r="E619" s="6"/>
      <c r="F619" s="6"/>
    </row>
    <row r="620" spans="5:6" x14ac:dyDescent="0.3">
      <c r="E620" s="6"/>
      <c r="F620" s="6"/>
    </row>
  </sheetData>
  <sortState xmlns:xlrd2="http://schemas.microsoft.com/office/spreadsheetml/2017/richdata2" ref="C430:D555">
    <sortCondition ref="C430:C555"/>
  </sortState>
  <mergeCells count="7">
    <mergeCell ref="B561:C561"/>
    <mergeCell ref="C1:D1"/>
    <mergeCell ref="A5:D5"/>
    <mergeCell ref="B14:D15"/>
    <mergeCell ref="B23:D25"/>
    <mergeCell ref="A10:D10"/>
    <mergeCell ref="A7:D7"/>
  </mergeCells>
  <pageMargins left="0.25" right="0.25"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Bill Line Item (2)</vt:lpstr>
      <vt:lpstr>'Budget Bill Line Item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Nikia Fleming</dc:creator>
  <cp:keywords/>
  <dc:description/>
  <cp:lastModifiedBy>Rana Pratt</cp:lastModifiedBy>
  <cp:revision/>
  <cp:lastPrinted>2024-09-26T21:01:51Z</cp:lastPrinted>
  <dcterms:created xsi:type="dcterms:W3CDTF">2020-09-21T13:02:12Z</dcterms:created>
  <dcterms:modified xsi:type="dcterms:W3CDTF">2024-09-26T21:02:10Z</dcterms:modified>
  <cp:category/>
  <cp:contentStatus/>
</cp:coreProperties>
</file>